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megbock\Desktop\"/>
    </mc:Choice>
  </mc:AlternateContent>
  <xr:revisionPtr revIDLastSave="0" documentId="8_{E3883FF2-9868-462C-8B0E-592875F27417}" xr6:coauthVersionLast="47" xr6:coauthVersionMax="47" xr10:uidLastSave="{00000000-0000-0000-0000-000000000000}"/>
  <workbookProtection workbookAlgorithmName="SHA-512" workbookHashValue="b5RM/25ED3tGqLqlFYUY9mf2HrHWv0yiebfVFqfL+nX2jjo6xqqjWO/fvFaiaA+9dGTw+T9KqYDqnFLZVohXAQ==" workbookSaltValue="y4kt+VJgUF2uHWFg46vm+A==" workbookSpinCount="100000" lockStructure="1"/>
  <bookViews>
    <workbookView xWindow="-28920" yWindow="-1935" windowWidth="29040" windowHeight="15840" xr2:uid="{00000000-000D-0000-FFFF-FFFF00000000}"/>
  </bookViews>
  <sheets>
    <sheet name="Estimating Form" sheetId="3" r:id="rId1"/>
    <sheet name="Survey Form" sheetId="6" r:id="rId2"/>
    <sheet name="JAXSAFAC" sheetId="1" state="veryHidden" r:id="rId3"/>
    <sheet name="Hydro Group " sheetId="7" state="veryHidden" r:id="rId4"/>
    <sheet name="Revision Tracker" sheetId="8" state="veryHidden" r:id="rId5"/>
  </sheets>
  <definedNames>
    <definedName name="\p">JAXSAFAC!$A$57</definedName>
    <definedName name="_xlnm._FilterDatabase" localSheetId="3" hidden="1">'Hydro Group '!$A$17:$F$885</definedName>
    <definedName name="_Regression_Int" localSheetId="2" hidden="1">1</definedName>
    <definedName name="HTML_CodePage" hidden="1">1252</definedName>
    <definedName name="HTML_Control" localSheetId="3" hidden="1">{"'Quote'!$A$27:$C$125","'Quote'!$A$12:$C$26","'Quote'!$A$1:$F$10","'Quote'!$J$7"}</definedName>
    <definedName name="HTML_Control" hidden="1">{"'Quote'!$A$27:$C$125","'Quote'!$A$12:$C$26","'Quote'!$A$1:$F$10","'Quote'!$J$7"}</definedName>
    <definedName name="HTML_Description" hidden="1">""</definedName>
    <definedName name="HTML_Email" hidden="1">"mdf@interlinks.net"</definedName>
    <definedName name="HTML_Header" hidden="1">"Roped Hydro"</definedName>
    <definedName name="HTML_LastUpdate" hidden="1">"03/20/00"</definedName>
    <definedName name="HTML_LineAfter" hidden="1">FALSE</definedName>
    <definedName name="HTML_LineBefore" hidden="1">FALSE</definedName>
    <definedName name="HTML_Name" hidden="1">"Michal Fischer"</definedName>
    <definedName name="HTML_OBDlg2" hidden="1">TRUE</definedName>
    <definedName name="HTML_OBDlg4" hidden="1">TRUE</definedName>
    <definedName name="HTML_OS" hidden="1">0</definedName>
    <definedName name="HTML_PathFile" hidden="1">"C:\WINNT\Profiles\michalf\Desktop\Roped.htm"</definedName>
    <definedName name="HTML_Title" hidden="1">"US ESTIMATE"</definedName>
    <definedName name="_xlnm.Print_Area" localSheetId="0">'Estimating Form'!$A$1:$I$89</definedName>
    <definedName name="_xlnm.Print_Area" localSheetId="3">'Hydro Group '!$A$1:$E$897</definedName>
    <definedName name="_xlnm.Print_Area" localSheetId="2">JAXSAFAC!$A$1:$G$15</definedName>
    <definedName name="_xlnm.Print_Area" localSheetId="1">'Survey Form'!$A$1:$J$71</definedName>
    <definedName name="Print_Area_MI">JAXSAFAC!$A$1:$H$15</definedName>
    <definedName name="_xlnm.Print_Titles" localSheetId="3">'Hydro Group '!$17:$17</definedName>
    <definedName name="Query_from_Macola_1" localSheetId="3">'Hydro Group '!$B$413:$C$777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69" i="7" l="1"/>
  <c r="P668" i="7"/>
  <c r="P667" i="7"/>
  <c r="P666" i="7"/>
  <c r="P665" i="7"/>
  <c r="P664" i="7"/>
  <c r="P663" i="7"/>
  <c r="P662" i="7"/>
  <c r="P660" i="7"/>
  <c r="P659" i="7"/>
  <c r="P658" i="7"/>
  <c r="P656" i="7"/>
  <c r="P655" i="7"/>
  <c r="P654" i="7"/>
  <c r="P653" i="7"/>
  <c r="P652" i="7"/>
  <c r="P650" i="7"/>
  <c r="P649" i="7"/>
  <c r="P648" i="7"/>
  <c r="P647" i="7"/>
  <c r="P646" i="7"/>
  <c r="P644" i="7"/>
  <c r="P643" i="7"/>
  <c r="P642" i="7"/>
  <c r="P641" i="7"/>
  <c r="P640" i="7"/>
  <c r="P638" i="7"/>
  <c r="P637" i="7"/>
  <c r="P636" i="7"/>
  <c r="P635" i="7"/>
  <c r="P634" i="7"/>
  <c r="P633" i="7"/>
  <c r="I51" i="6"/>
  <c r="Q64" i="6" l="1"/>
  <c r="Q63" i="6"/>
  <c r="Q62" i="6"/>
  <c r="Q61" i="6"/>
  <c r="Q60" i="6"/>
  <c r="P64" i="6"/>
  <c r="P63" i="6"/>
  <c r="P62" i="6"/>
  <c r="P61" i="6"/>
  <c r="P60" i="6"/>
  <c r="P59" i="6"/>
  <c r="Q59" i="6"/>
  <c r="A58" i="3" l="1"/>
  <c r="A56" i="3"/>
  <c r="G18" i="3"/>
  <c r="N5" i="3" l="1"/>
  <c r="F44" i="3" s="1"/>
  <c r="I39" i="6" l="1"/>
  <c r="V43" i="6"/>
  <c r="Y63" i="6" s="1"/>
  <c r="I40" i="6" l="1"/>
  <c r="R1013" i="1" l="1"/>
  <c r="Q1014" i="1"/>
  <c r="Q1015" i="1" s="1"/>
  <c r="Q1016" i="1" l="1"/>
  <c r="R1015" i="1"/>
  <c r="R1014" i="1"/>
  <c r="Q1017" i="1" l="1"/>
  <c r="R1016" i="1"/>
  <c r="C50" i="3"/>
  <c r="Q989" i="1"/>
  <c r="T989" i="1" l="1"/>
  <c r="Q1018" i="1"/>
  <c r="R1017" i="1"/>
  <c r="R989" i="1"/>
  <c r="S989" i="1"/>
  <c r="T952" i="1"/>
  <c r="S952" i="1"/>
  <c r="R952" i="1"/>
  <c r="Q952" i="1"/>
  <c r="P952" i="1"/>
  <c r="O952" i="1"/>
  <c r="Q1019" i="1" l="1"/>
  <c r="R1018" i="1"/>
  <c r="L954" i="1"/>
  <c r="M954" i="1"/>
  <c r="N954" i="1"/>
  <c r="O954" i="1"/>
  <c r="P954" i="1"/>
  <c r="Q954" i="1"/>
  <c r="R954" i="1"/>
  <c r="S954" i="1"/>
  <c r="T954" i="1"/>
  <c r="K954" i="1"/>
  <c r="G75" i="3" s="1"/>
  <c r="L953" i="1"/>
  <c r="L956" i="1" s="1"/>
  <c r="M953" i="1"/>
  <c r="M956" i="1" s="1"/>
  <c r="N953" i="1"/>
  <c r="N956" i="1" s="1"/>
  <c r="O953" i="1"/>
  <c r="O956" i="1" s="1"/>
  <c r="P953" i="1"/>
  <c r="Q953" i="1"/>
  <c r="R953" i="1"/>
  <c r="R956" i="1" s="1"/>
  <c r="S953" i="1"/>
  <c r="S956" i="1" s="1"/>
  <c r="T953" i="1"/>
  <c r="T956" i="1" s="1"/>
  <c r="A899" i="1" s="1"/>
  <c r="K953" i="1"/>
  <c r="L952" i="1"/>
  <c r="M952" i="1"/>
  <c r="N952" i="1"/>
  <c r="A173" i="1" l="1"/>
  <c r="A272" i="1"/>
  <c r="A239" i="1"/>
  <c r="A206" i="1"/>
  <c r="A305" i="1"/>
  <c r="A404" i="1"/>
  <c r="A371" i="1"/>
  <c r="A338" i="1"/>
  <c r="A74" i="1"/>
  <c r="A140" i="1"/>
  <c r="A107" i="1"/>
  <c r="A437" i="1"/>
  <c r="A536" i="1"/>
  <c r="A503" i="1"/>
  <c r="A470" i="1"/>
  <c r="A833" i="1"/>
  <c r="A866" i="1"/>
  <c r="A800" i="1"/>
  <c r="A767" i="1"/>
  <c r="A734" i="1"/>
  <c r="G73" i="3"/>
  <c r="G77" i="3" s="1"/>
  <c r="E9" i="7" s="1"/>
  <c r="K956" i="1"/>
  <c r="K957" i="1"/>
  <c r="Q956" i="1"/>
  <c r="P956" i="1"/>
  <c r="Q1020" i="1"/>
  <c r="R1019" i="1"/>
  <c r="Q957" i="1"/>
  <c r="S957" i="1"/>
  <c r="O957" i="1"/>
  <c r="R957" i="1"/>
  <c r="N957" i="1"/>
  <c r="Q112" i="3"/>
  <c r="T112" i="3" s="1"/>
  <c r="Q133" i="3"/>
  <c r="Q118" i="3"/>
  <c r="Q126" i="3"/>
  <c r="Q134" i="3"/>
  <c r="Q115" i="3"/>
  <c r="Q123" i="3"/>
  <c r="Q131" i="3"/>
  <c r="Q116" i="3"/>
  <c r="Q120" i="3"/>
  <c r="Q124" i="3"/>
  <c r="Q128" i="3"/>
  <c r="Q132" i="3"/>
  <c r="Q113" i="3"/>
  <c r="Q117" i="3"/>
  <c r="Q121" i="3"/>
  <c r="Q125" i="3"/>
  <c r="Q129" i="3"/>
  <c r="Q114" i="3"/>
  <c r="Q122" i="3"/>
  <c r="Q130" i="3"/>
  <c r="Q119" i="3"/>
  <c r="Q127" i="3"/>
  <c r="M957" i="1"/>
  <c r="T957" i="1"/>
  <c r="P957" i="1"/>
  <c r="L957" i="1"/>
  <c r="A34" i="3"/>
  <c r="Q7" i="3"/>
  <c r="Q6" i="3"/>
  <c r="Q5" i="3"/>
  <c r="Q4" i="3"/>
  <c r="Q3" i="3"/>
  <c r="Q2" i="3"/>
  <c r="Q1" i="3"/>
  <c r="I1012" i="1" l="1"/>
  <c r="A808" i="1"/>
  <c r="B819" i="1" s="1"/>
  <c r="I1013" i="1"/>
  <c r="I1011" i="1"/>
  <c r="A775" i="1"/>
  <c r="B786" i="1" s="1"/>
  <c r="A742" i="1"/>
  <c r="B753" i="1" s="1"/>
  <c r="A709" i="1"/>
  <c r="B720" i="1" s="1"/>
  <c r="A676" i="1"/>
  <c r="B687" i="1" s="1"/>
  <c r="I1010" i="1"/>
  <c r="I1009" i="1"/>
  <c r="A82" i="1"/>
  <c r="B93" i="1" s="1"/>
  <c r="A148" i="1"/>
  <c r="B159" i="1" s="1"/>
  <c r="A115" i="1"/>
  <c r="B126" i="1" s="1"/>
  <c r="A8" i="1"/>
  <c r="A41" i="1"/>
  <c r="A610" i="1"/>
  <c r="B621" i="1" s="1"/>
  <c r="A577" i="1"/>
  <c r="B588" i="1" s="1"/>
  <c r="A643" i="1"/>
  <c r="B654" i="1" s="1"/>
  <c r="A701" i="1"/>
  <c r="A668" i="1"/>
  <c r="I1003" i="1"/>
  <c r="A478" i="1"/>
  <c r="B489" i="1" s="1"/>
  <c r="I1004" i="1"/>
  <c r="I1005" i="1"/>
  <c r="A445" i="1"/>
  <c r="B456" i="1" s="1"/>
  <c r="I1006" i="1"/>
  <c r="I1007" i="1"/>
  <c r="A544" i="1"/>
  <c r="B555" i="1" s="1"/>
  <c r="I1008" i="1"/>
  <c r="I1002" i="1"/>
  <c r="A511" i="1"/>
  <c r="B522" i="1" s="1"/>
  <c r="I991" i="1"/>
  <c r="I999" i="1"/>
  <c r="A49" i="1"/>
  <c r="B60" i="1" s="1"/>
  <c r="I992" i="1"/>
  <c r="I1000" i="1"/>
  <c r="I993" i="1"/>
  <c r="I1001" i="1"/>
  <c r="I994" i="1"/>
  <c r="I989" i="1"/>
  <c r="I995" i="1"/>
  <c r="I996" i="1"/>
  <c r="A16" i="1"/>
  <c r="B27" i="1" s="1"/>
  <c r="I997" i="1"/>
  <c r="I990" i="1"/>
  <c r="I998" i="1"/>
  <c r="A841" i="1"/>
  <c r="B852" i="1" s="1"/>
  <c r="I1015" i="1"/>
  <c r="I1014" i="1"/>
  <c r="A874" i="1"/>
  <c r="B885" i="1" s="1"/>
  <c r="I1016" i="1"/>
  <c r="R990" i="1" s="1"/>
  <c r="A907" i="1"/>
  <c r="B918" i="1" s="1"/>
  <c r="A214" i="1"/>
  <c r="B225" i="1" s="1"/>
  <c r="A181" i="1"/>
  <c r="B192" i="1" s="1"/>
  <c r="A280" i="1"/>
  <c r="B291" i="1" s="1"/>
  <c r="A247" i="1"/>
  <c r="B258" i="1" s="1"/>
  <c r="A346" i="1"/>
  <c r="B357" i="1" s="1"/>
  <c r="A313" i="1"/>
  <c r="B324" i="1" s="1"/>
  <c r="A412" i="1"/>
  <c r="B423" i="1" s="1"/>
  <c r="A379" i="1"/>
  <c r="B390" i="1" s="1"/>
  <c r="A569" i="1"/>
  <c r="A635" i="1"/>
  <c r="A602" i="1"/>
  <c r="Q1021" i="1"/>
  <c r="R1020" i="1"/>
  <c r="T125" i="3"/>
  <c r="U125" i="3"/>
  <c r="U132" i="3"/>
  <c r="T132" i="3"/>
  <c r="T134" i="3"/>
  <c r="U134" i="3"/>
  <c r="U121" i="3"/>
  <c r="T121" i="3"/>
  <c r="T131" i="3"/>
  <c r="U131" i="3"/>
  <c r="U112" i="3"/>
  <c r="V112" i="3" s="1"/>
  <c r="T119" i="3"/>
  <c r="U119" i="3"/>
  <c r="U129" i="3"/>
  <c r="T129" i="3"/>
  <c r="U113" i="3"/>
  <c r="T113" i="3"/>
  <c r="U120" i="3"/>
  <c r="T120" i="3"/>
  <c r="T115" i="3"/>
  <c r="U115" i="3"/>
  <c r="U133" i="3"/>
  <c r="T133" i="3"/>
  <c r="U130" i="3"/>
  <c r="T130" i="3"/>
  <c r="U116" i="3"/>
  <c r="T116" i="3"/>
  <c r="U122" i="3"/>
  <c r="T122" i="3"/>
  <c r="U128" i="3"/>
  <c r="T128" i="3"/>
  <c r="T126" i="3"/>
  <c r="U126" i="3"/>
  <c r="T127" i="3"/>
  <c r="U127" i="3"/>
  <c r="U114" i="3"/>
  <c r="T114" i="3"/>
  <c r="T117" i="3"/>
  <c r="U117" i="3"/>
  <c r="U124" i="3"/>
  <c r="T124" i="3"/>
  <c r="T123" i="3"/>
  <c r="U123" i="3"/>
  <c r="T118" i="3"/>
  <c r="U118" i="3"/>
  <c r="Q8" i="3"/>
  <c r="Q1022" i="1" l="1"/>
  <c r="R1021" i="1"/>
  <c r="V123" i="3"/>
  <c r="V117" i="3"/>
  <c r="V127" i="3"/>
  <c r="V118" i="3"/>
  <c r="V126" i="3"/>
  <c r="V115" i="3"/>
  <c r="V119" i="3"/>
  <c r="V131" i="3"/>
  <c r="V134" i="3"/>
  <c r="V125" i="3"/>
  <c r="V124" i="3"/>
  <c r="V114" i="3"/>
  <c r="V122" i="3"/>
  <c r="V130" i="3"/>
  <c r="V113" i="3"/>
  <c r="V128" i="3"/>
  <c r="V116" i="3"/>
  <c r="V133" i="3"/>
  <c r="V120" i="3"/>
  <c r="V129" i="3"/>
  <c r="V121" i="3"/>
  <c r="V132" i="3"/>
  <c r="H48" i="3"/>
  <c r="X991" i="1" l="1"/>
  <c r="Z990" i="1"/>
  <c r="X990" i="1"/>
  <c r="Z994" i="1"/>
  <c r="X989" i="1"/>
  <c r="G83" i="3"/>
  <c r="R992" i="1" s="1"/>
  <c r="X992" i="1"/>
  <c r="R991" i="1"/>
  <c r="Z991" i="1"/>
  <c r="Z996" i="1"/>
  <c r="Z995" i="1"/>
  <c r="X994" i="1"/>
  <c r="Z992" i="1"/>
  <c r="X995" i="1"/>
  <c r="X997" i="1"/>
  <c r="Z993" i="1"/>
  <c r="X996" i="1"/>
  <c r="X993" i="1"/>
  <c r="Z997" i="1"/>
  <c r="Q1023" i="1"/>
  <c r="R1022" i="1"/>
  <c r="AA989" i="1" l="1"/>
  <c r="AB994" i="1"/>
  <c r="AB990" i="1"/>
  <c r="Y989" i="1"/>
  <c r="Y990" i="1"/>
  <c r="AB996" i="1"/>
  <c r="AB992" i="1"/>
  <c r="AB995" i="1"/>
  <c r="AB991" i="1"/>
  <c r="AB997" i="1"/>
  <c r="AB993" i="1"/>
  <c r="R1023" i="1"/>
  <c r="Q1024" i="1"/>
  <c r="Y991" i="1"/>
  <c r="Y996" i="1"/>
  <c r="Y995" i="1"/>
  <c r="Y993" i="1"/>
  <c r="Y994" i="1"/>
  <c r="Y992" i="1"/>
  <c r="Y997" i="1"/>
  <c r="F18" i="3"/>
  <c r="AC994" i="1" l="1"/>
  <c r="AC992" i="1"/>
  <c r="AC991" i="1"/>
  <c r="AC997" i="1"/>
  <c r="AC996" i="1"/>
  <c r="AC989" i="1"/>
  <c r="AC995" i="1"/>
  <c r="AC990" i="1"/>
  <c r="AC993" i="1"/>
  <c r="Q1025" i="1"/>
  <c r="R1024" i="1"/>
  <c r="G22" i="3"/>
  <c r="Q1026" i="1" l="1"/>
  <c r="R1025" i="1"/>
  <c r="I69" i="6"/>
  <c r="D69" i="6"/>
  <c r="Q1027" i="1" l="1"/>
  <c r="R1026" i="1"/>
  <c r="R1027" i="1" l="1"/>
  <c r="Q1028" i="1"/>
  <c r="M4" i="7"/>
  <c r="R1028" i="1" l="1"/>
  <c r="Q1029" i="1"/>
  <c r="E679" i="7"/>
  <c r="E674" i="7"/>
  <c r="E671" i="7"/>
  <c r="E680" i="7"/>
  <c r="E678" i="7"/>
  <c r="E677" i="7"/>
  <c r="E675" i="7"/>
  <c r="G10" i="7"/>
  <c r="E11" i="7"/>
  <c r="P686" i="7"/>
  <c r="N686" i="7" s="1"/>
  <c r="M686" i="7" s="1"/>
  <c r="E4" i="7"/>
  <c r="G12" i="7" s="1"/>
  <c r="P294" i="7" s="1"/>
  <c r="N294" i="7" s="1"/>
  <c r="M294" i="7" s="1"/>
  <c r="E3" i="7"/>
  <c r="E687" i="7"/>
  <c r="E686" i="7"/>
  <c r="P680" i="7"/>
  <c r="N680" i="7" s="1"/>
  <c r="M680" i="7" s="1"/>
  <c r="P679" i="7"/>
  <c r="N679" i="7" s="1"/>
  <c r="M679" i="7" s="1"/>
  <c r="E672" i="7"/>
  <c r="E632" i="7"/>
  <c r="E631" i="7"/>
  <c r="E630" i="7"/>
  <c r="E629" i="7"/>
  <c r="P627" i="7"/>
  <c r="N627" i="7" s="1"/>
  <c r="M627" i="7" s="1"/>
  <c r="E627" i="7"/>
  <c r="P626" i="7"/>
  <c r="N626" i="7" s="1"/>
  <c r="M626" i="7" s="1"/>
  <c r="E626" i="7"/>
  <c r="P625" i="7"/>
  <c r="N625" i="7" s="1"/>
  <c r="M625" i="7" s="1"/>
  <c r="E625" i="7"/>
  <c r="P624" i="7"/>
  <c r="N624" i="7" s="1"/>
  <c r="M624" i="7" s="1"/>
  <c r="E624" i="7"/>
  <c r="P623" i="7"/>
  <c r="N623" i="7" s="1"/>
  <c r="M623" i="7" s="1"/>
  <c r="E623" i="7"/>
  <c r="P622" i="7"/>
  <c r="N622" i="7" s="1"/>
  <c r="M622" i="7" s="1"/>
  <c r="E622" i="7"/>
  <c r="P621" i="7"/>
  <c r="N621" i="7" s="1"/>
  <c r="M621" i="7" s="1"/>
  <c r="E621" i="7"/>
  <c r="P620" i="7"/>
  <c r="N620" i="7" s="1"/>
  <c r="M620" i="7" s="1"/>
  <c r="E620" i="7"/>
  <c r="P619" i="7"/>
  <c r="N619" i="7" s="1"/>
  <c r="M619" i="7" s="1"/>
  <c r="E619" i="7"/>
  <c r="P618" i="7"/>
  <c r="N618" i="7" s="1"/>
  <c r="M618" i="7" s="1"/>
  <c r="E618" i="7"/>
  <c r="P617" i="7"/>
  <c r="N617" i="7" s="1"/>
  <c r="M617" i="7" s="1"/>
  <c r="E617" i="7"/>
  <c r="P616" i="7"/>
  <c r="N616" i="7" s="1"/>
  <c r="M616" i="7" s="1"/>
  <c r="E616" i="7"/>
  <c r="P615" i="7"/>
  <c r="N615" i="7" s="1"/>
  <c r="M615" i="7" s="1"/>
  <c r="E615" i="7"/>
  <c r="P614" i="7"/>
  <c r="N614" i="7" s="1"/>
  <c r="M614" i="7" s="1"/>
  <c r="E614" i="7"/>
  <c r="P613" i="7"/>
  <c r="N613" i="7" s="1"/>
  <c r="M613" i="7" s="1"/>
  <c r="E613" i="7"/>
  <c r="P612" i="7"/>
  <c r="N612" i="7" s="1"/>
  <c r="M612" i="7" s="1"/>
  <c r="E612" i="7"/>
  <c r="E611" i="7"/>
  <c r="AU610" i="7"/>
  <c r="AT610" i="7"/>
  <c r="AS610" i="7"/>
  <c r="AR610" i="7"/>
  <c r="AQ610" i="7"/>
  <c r="AP610" i="7"/>
  <c r="AO610" i="7"/>
  <c r="AN610" i="7"/>
  <c r="AK610" i="7"/>
  <c r="AJ610" i="7"/>
  <c r="AI610" i="7"/>
  <c r="AH610" i="7"/>
  <c r="AG610" i="7"/>
  <c r="AF610" i="7"/>
  <c r="V610" i="7" s="1"/>
  <c r="AE610" i="7"/>
  <c r="U610" i="7" s="1"/>
  <c r="AD610" i="7"/>
  <c r="T610" i="7" s="1"/>
  <c r="AA610" i="7"/>
  <c r="Z610" i="7"/>
  <c r="Y610" i="7"/>
  <c r="X610" i="7"/>
  <c r="W610" i="7"/>
  <c r="P610" i="7"/>
  <c r="N610" i="7" s="1"/>
  <c r="M610" i="7" s="1"/>
  <c r="E610" i="7"/>
  <c r="E609" i="7"/>
  <c r="P608" i="7"/>
  <c r="N608" i="7" s="1"/>
  <c r="M608" i="7" s="1"/>
  <c r="E608" i="7"/>
  <c r="E607" i="7"/>
  <c r="P604" i="7"/>
  <c r="N604" i="7" s="1"/>
  <c r="M604" i="7" s="1"/>
  <c r="E604" i="7"/>
  <c r="P603" i="7"/>
  <c r="N603" i="7" s="1"/>
  <c r="M603" i="7" s="1"/>
  <c r="E603" i="7"/>
  <c r="P602" i="7"/>
  <c r="N602" i="7" s="1"/>
  <c r="M602" i="7" s="1"/>
  <c r="E602" i="7"/>
  <c r="P601" i="7"/>
  <c r="N601" i="7" s="1"/>
  <c r="M601" i="7" s="1"/>
  <c r="E601" i="7"/>
  <c r="P600" i="7"/>
  <c r="N600" i="7" s="1"/>
  <c r="M600" i="7" s="1"/>
  <c r="E600" i="7"/>
  <c r="P599" i="7"/>
  <c r="N599" i="7" s="1"/>
  <c r="M599" i="7" s="1"/>
  <c r="E599" i="7"/>
  <c r="E598" i="7"/>
  <c r="P597" i="7"/>
  <c r="N597" i="7" s="1"/>
  <c r="M597" i="7" s="1"/>
  <c r="E597" i="7"/>
  <c r="P596" i="7"/>
  <c r="N596" i="7" s="1"/>
  <c r="M596" i="7" s="1"/>
  <c r="E596" i="7"/>
  <c r="E595" i="7"/>
  <c r="M594" i="7"/>
  <c r="E594" i="7"/>
  <c r="C594" i="7"/>
  <c r="M593" i="7"/>
  <c r="E593" i="7"/>
  <c r="C593" i="7"/>
  <c r="M592" i="7"/>
  <c r="E592" i="7"/>
  <c r="C592" i="7"/>
  <c r="M591" i="7"/>
  <c r="E591" i="7"/>
  <c r="C591" i="7"/>
  <c r="M590" i="7"/>
  <c r="E590" i="7"/>
  <c r="C590" i="7"/>
  <c r="M589" i="7"/>
  <c r="E589" i="7"/>
  <c r="C589" i="7"/>
  <c r="E588" i="7"/>
  <c r="P587" i="7"/>
  <c r="N587" i="7" s="1"/>
  <c r="M587" i="7" s="1"/>
  <c r="E587" i="7"/>
  <c r="P586" i="7"/>
  <c r="N586" i="7" s="1"/>
  <c r="M586" i="7" s="1"/>
  <c r="E586" i="7"/>
  <c r="E585" i="7"/>
  <c r="M584" i="7"/>
  <c r="E584" i="7"/>
  <c r="C584" i="7"/>
  <c r="M583" i="7"/>
  <c r="E583" i="7"/>
  <c r="C583" i="7"/>
  <c r="M582" i="7"/>
  <c r="E582" i="7"/>
  <c r="C582" i="7"/>
  <c r="M581" i="7"/>
  <c r="E581" i="7"/>
  <c r="C581" i="7"/>
  <c r="M580" i="7"/>
  <c r="E580" i="7"/>
  <c r="C580" i="7"/>
  <c r="M579" i="7"/>
  <c r="E579" i="7"/>
  <c r="C579" i="7"/>
  <c r="E578" i="7"/>
  <c r="P577" i="7"/>
  <c r="N577" i="7" s="1"/>
  <c r="M577" i="7" s="1"/>
  <c r="E577" i="7"/>
  <c r="P576" i="7"/>
  <c r="N576" i="7" s="1"/>
  <c r="M576" i="7" s="1"/>
  <c r="E576" i="7"/>
  <c r="E575" i="7"/>
  <c r="M574" i="7"/>
  <c r="E574" i="7"/>
  <c r="C574" i="7"/>
  <c r="M573" i="7"/>
  <c r="E573" i="7"/>
  <c r="C573" i="7"/>
  <c r="M572" i="7"/>
  <c r="E572" i="7"/>
  <c r="C572" i="7"/>
  <c r="M571" i="7"/>
  <c r="E571" i="7"/>
  <c r="C571" i="7"/>
  <c r="M570" i="7"/>
  <c r="E570" i="7"/>
  <c r="C570" i="7"/>
  <c r="M569" i="7"/>
  <c r="E569" i="7"/>
  <c r="C569" i="7"/>
  <c r="P567" i="7"/>
  <c r="N567" i="7" s="1"/>
  <c r="M567" i="7" s="1"/>
  <c r="E567" i="7"/>
  <c r="P566" i="7"/>
  <c r="N566" i="7" s="1"/>
  <c r="M566" i="7" s="1"/>
  <c r="E566" i="7"/>
  <c r="P565" i="7"/>
  <c r="N565" i="7" s="1"/>
  <c r="M565" i="7" s="1"/>
  <c r="E565" i="7"/>
  <c r="P564" i="7"/>
  <c r="N564" i="7" s="1"/>
  <c r="M564" i="7" s="1"/>
  <c r="E564" i="7"/>
  <c r="P563" i="7"/>
  <c r="N563" i="7" s="1"/>
  <c r="M563" i="7" s="1"/>
  <c r="E563" i="7"/>
  <c r="E562" i="7"/>
  <c r="P561" i="7"/>
  <c r="N561" i="7" s="1"/>
  <c r="M561" i="7" s="1"/>
  <c r="E561" i="7"/>
  <c r="P560" i="7"/>
  <c r="N560" i="7" s="1"/>
  <c r="M560" i="7" s="1"/>
  <c r="A560" i="7"/>
  <c r="E560" i="7" s="1"/>
  <c r="AM558" i="7"/>
  <c r="AR558" i="7" s="1"/>
  <c r="AJ558" i="7" s="1"/>
  <c r="AB558" i="7" s="1"/>
  <c r="P558" i="7"/>
  <c r="N558" i="7" s="1"/>
  <c r="M558" i="7" s="1"/>
  <c r="E558" i="7"/>
  <c r="AM557" i="7"/>
  <c r="P557" i="7"/>
  <c r="N557" i="7" s="1"/>
  <c r="M557" i="7" s="1"/>
  <c r="E557" i="7"/>
  <c r="AM556" i="7"/>
  <c r="AP556" i="7" s="1"/>
  <c r="AH556" i="7" s="1"/>
  <c r="Z556" i="7" s="1"/>
  <c r="P556" i="7"/>
  <c r="N556" i="7" s="1"/>
  <c r="M556" i="7" s="1"/>
  <c r="E556" i="7"/>
  <c r="AM555" i="7"/>
  <c r="AE555" i="7" s="1"/>
  <c r="W555" i="7" s="1"/>
  <c r="P555" i="7"/>
  <c r="N555" i="7" s="1"/>
  <c r="M555" i="7" s="1"/>
  <c r="E555" i="7"/>
  <c r="AM554" i="7"/>
  <c r="AQ554" i="7" s="1"/>
  <c r="AI554" i="7" s="1"/>
  <c r="AA554" i="7" s="1"/>
  <c r="N554" i="7"/>
  <c r="M554" i="7" s="1"/>
  <c r="E554" i="7"/>
  <c r="AM553" i="7"/>
  <c r="AQ553" i="7" s="1"/>
  <c r="AI553" i="7" s="1"/>
  <c r="AA553" i="7" s="1"/>
  <c r="P553" i="7"/>
  <c r="N553" i="7" s="1"/>
  <c r="M553" i="7" s="1"/>
  <c r="E553" i="7"/>
  <c r="AM552" i="7"/>
  <c r="AQ552" i="7" s="1"/>
  <c r="AI552" i="7" s="1"/>
  <c r="AA552" i="7" s="1"/>
  <c r="P552" i="7"/>
  <c r="N552" i="7" s="1"/>
  <c r="M552" i="7" s="1"/>
  <c r="E552" i="7"/>
  <c r="AO551" i="7"/>
  <c r="AG551" i="7" s="1"/>
  <c r="Y551" i="7" s="1"/>
  <c r="AM551" i="7"/>
  <c r="AQ551" i="7" s="1"/>
  <c r="AI551" i="7" s="1"/>
  <c r="AA551" i="7" s="1"/>
  <c r="P551" i="7"/>
  <c r="N551" i="7" s="1"/>
  <c r="M551" i="7" s="1"/>
  <c r="E551" i="7"/>
  <c r="AM550" i="7"/>
  <c r="AN550" i="7" s="1"/>
  <c r="AF550" i="7" s="1"/>
  <c r="X550" i="7" s="1"/>
  <c r="E550" i="7"/>
  <c r="AM549" i="7"/>
  <c r="M549" i="7"/>
  <c r="E549" i="7"/>
  <c r="AM548" i="7"/>
  <c r="AE548" i="7" s="1"/>
  <c r="W548" i="7" s="1"/>
  <c r="M548" i="7"/>
  <c r="E548" i="7"/>
  <c r="AM547" i="7"/>
  <c r="AP547" i="7" s="1"/>
  <c r="AH547" i="7" s="1"/>
  <c r="Z547" i="7" s="1"/>
  <c r="M547" i="7"/>
  <c r="E547" i="7"/>
  <c r="AM546" i="7"/>
  <c r="M546" i="7"/>
  <c r="E546" i="7"/>
  <c r="AM545" i="7"/>
  <c r="M545" i="7"/>
  <c r="E545" i="7"/>
  <c r="E544" i="7"/>
  <c r="P543" i="7"/>
  <c r="N543" i="7" s="1"/>
  <c r="M543" i="7" s="1"/>
  <c r="E543" i="7"/>
  <c r="P542" i="7"/>
  <c r="N542" i="7" s="1"/>
  <c r="M542" i="7" s="1"/>
  <c r="E542" i="7"/>
  <c r="P541" i="7"/>
  <c r="N541" i="7" s="1"/>
  <c r="M541" i="7" s="1"/>
  <c r="E541" i="7"/>
  <c r="P540" i="7"/>
  <c r="N540" i="7" s="1"/>
  <c r="M540" i="7" s="1"/>
  <c r="E540" i="7"/>
  <c r="P539" i="7"/>
  <c r="N539" i="7" s="1"/>
  <c r="M539" i="7" s="1"/>
  <c r="E539" i="7"/>
  <c r="P538" i="7"/>
  <c r="N538" i="7" s="1"/>
  <c r="M538" i="7" s="1"/>
  <c r="E538" i="7"/>
  <c r="P535" i="7"/>
  <c r="N535" i="7" s="1"/>
  <c r="M535" i="7" s="1"/>
  <c r="E535" i="7"/>
  <c r="E534" i="7"/>
  <c r="P533" i="7"/>
  <c r="N533" i="7" s="1"/>
  <c r="M533" i="7" s="1"/>
  <c r="E533" i="7"/>
  <c r="P532" i="7"/>
  <c r="N532" i="7" s="1"/>
  <c r="M532" i="7" s="1"/>
  <c r="E532" i="7"/>
  <c r="P531" i="7"/>
  <c r="N531" i="7" s="1"/>
  <c r="M531" i="7" s="1"/>
  <c r="E531" i="7"/>
  <c r="P530" i="7"/>
  <c r="N530" i="7" s="1"/>
  <c r="M530" i="7" s="1"/>
  <c r="E530" i="7"/>
  <c r="P529" i="7"/>
  <c r="N529" i="7" s="1"/>
  <c r="M529" i="7" s="1"/>
  <c r="E529" i="7"/>
  <c r="P528" i="7"/>
  <c r="N528" i="7" s="1"/>
  <c r="M528" i="7" s="1"/>
  <c r="E528" i="7"/>
  <c r="M526" i="7"/>
  <c r="G526" i="7"/>
  <c r="E526" i="7"/>
  <c r="M525" i="7"/>
  <c r="E525" i="7"/>
  <c r="C523" i="7"/>
  <c r="A523" i="7"/>
  <c r="AM522" i="7"/>
  <c r="AN522" i="7" s="1"/>
  <c r="AF522" i="7" s="1"/>
  <c r="X522" i="7" s="1"/>
  <c r="G522" i="7"/>
  <c r="E522" i="7"/>
  <c r="D522" i="7" s="1"/>
  <c r="AM521" i="7"/>
  <c r="AR521" i="7" s="1"/>
  <c r="AJ521" i="7" s="1"/>
  <c r="AB521" i="7" s="1"/>
  <c r="G521" i="7"/>
  <c r="E521" i="7"/>
  <c r="D521" i="7" s="1"/>
  <c r="AM520" i="7"/>
  <c r="AR520" i="7" s="1"/>
  <c r="AJ520" i="7" s="1"/>
  <c r="AB520" i="7" s="1"/>
  <c r="G520" i="7"/>
  <c r="E520" i="7"/>
  <c r="D520" i="7" s="1"/>
  <c r="G519" i="7"/>
  <c r="E519" i="7"/>
  <c r="D519" i="7" s="1"/>
  <c r="G518" i="7"/>
  <c r="E518" i="7"/>
  <c r="D518" i="7" s="1"/>
  <c r="E517" i="7"/>
  <c r="P516" i="7"/>
  <c r="N516" i="7" s="1"/>
  <c r="M516" i="7" s="1"/>
  <c r="G516" i="7"/>
  <c r="E516" i="7"/>
  <c r="D516" i="7" s="1"/>
  <c r="P515" i="7"/>
  <c r="N515" i="7" s="1"/>
  <c r="M515" i="7" s="1"/>
  <c r="G515" i="7"/>
  <c r="E515" i="7"/>
  <c r="D515" i="7" s="1"/>
  <c r="P514" i="7"/>
  <c r="N514" i="7" s="1"/>
  <c r="M514" i="7" s="1"/>
  <c r="G514" i="7"/>
  <c r="E514" i="7"/>
  <c r="D514" i="7" s="1"/>
  <c r="P513" i="7"/>
  <c r="N513" i="7" s="1"/>
  <c r="M513" i="7" s="1"/>
  <c r="G513" i="7"/>
  <c r="E513" i="7"/>
  <c r="D513" i="7" s="1"/>
  <c r="P512" i="7"/>
  <c r="N512" i="7" s="1"/>
  <c r="M512" i="7" s="1"/>
  <c r="G512" i="7"/>
  <c r="E512" i="7"/>
  <c r="D512" i="7" s="1"/>
  <c r="P511" i="7"/>
  <c r="N511" i="7" s="1"/>
  <c r="M511" i="7" s="1"/>
  <c r="G511" i="7"/>
  <c r="E511" i="7"/>
  <c r="D511" i="7" s="1"/>
  <c r="P510" i="7"/>
  <c r="N510" i="7" s="1"/>
  <c r="M510" i="7" s="1"/>
  <c r="G510" i="7"/>
  <c r="E510" i="7"/>
  <c r="D510" i="7" s="1"/>
  <c r="P509" i="7"/>
  <c r="N509" i="7" s="1"/>
  <c r="M509" i="7" s="1"/>
  <c r="G509" i="7"/>
  <c r="E509" i="7"/>
  <c r="D509" i="7" s="1"/>
  <c r="P508" i="7"/>
  <c r="N508" i="7" s="1"/>
  <c r="M508" i="7" s="1"/>
  <c r="G508" i="7"/>
  <c r="E508" i="7"/>
  <c r="D508" i="7" s="1"/>
  <c r="P507" i="7"/>
  <c r="N507" i="7" s="1"/>
  <c r="M507" i="7" s="1"/>
  <c r="G507" i="7"/>
  <c r="E507" i="7"/>
  <c r="D507" i="7" s="1"/>
  <c r="P506" i="7"/>
  <c r="N506" i="7" s="1"/>
  <c r="M506" i="7" s="1"/>
  <c r="G506" i="7"/>
  <c r="E506" i="7"/>
  <c r="D506" i="7" s="1"/>
  <c r="P505" i="7"/>
  <c r="N505" i="7" s="1"/>
  <c r="M505" i="7" s="1"/>
  <c r="G505" i="7"/>
  <c r="E505" i="7"/>
  <c r="D505" i="7" s="1"/>
  <c r="P504" i="7"/>
  <c r="N504" i="7" s="1"/>
  <c r="M504" i="7" s="1"/>
  <c r="G504" i="7"/>
  <c r="E504" i="7"/>
  <c r="D504" i="7" s="1"/>
  <c r="P503" i="7"/>
  <c r="N503" i="7" s="1"/>
  <c r="M503" i="7" s="1"/>
  <c r="G503" i="7"/>
  <c r="E503" i="7"/>
  <c r="D503" i="7" s="1"/>
  <c r="C502" i="7"/>
  <c r="A502" i="7"/>
  <c r="N501" i="7"/>
  <c r="M501" i="7" s="1"/>
  <c r="C501" i="7"/>
  <c r="P500" i="7"/>
  <c r="N500" i="7" s="1"/>
  <c r="M500" i="7" s="1"/>
  <c r="C500" i="7"/>
  <c r="N499" i="7"/>
  <c r="M499" i="7" s="1"/>
  <c r="P498" i="7"/>
  <c r="N498" i="7" s="1"/>
  <c r="M498" i="7" s="1"/>
  <c r="C498" i="7"/>
  <c r="P497" i="7"/>
  <c r="N497" i="7" s="1"/>
  <c r="M497" i="7" s="1"/>
  <c r="P496" i="7"/>
  <c r="N496" i="7" s="1"/>
  <c r="M496" i="7" s="1"/>
  <c r="C496" i="7"/>
  <c r="P495" i="7"/>
  <c r="N495" i="7" s="1"/>
  <c r="M495" i="7" s="1"/>
  <c r="C495" i="7"/>
  <c r="A495" i="7"/>
  <c r="A493" i="7" s="1"/>
  <c r="N494" i="7"/>
  <c r="M494" i="7" s="1"/>
  <c r="G494" i="7"/>
  <c r="E494" i="7"/>
  <c r="G492" i="7"/>
  <c r="E492" i="7"/>
  <c r="D492" i="7" s="1"/>
  <c r="G491" i="7"/>
  <c r="E491" i="7"/>
  <c r="D491" i="7" s="1"/>
  <c r="G490" i="7"/>
  <c r="E490" i="7"/>
  <c r="D490" i="7" s="1"/>
  <c r="G489" i="7"/>
  <c r="E489" i="7"/>
  <c r="D489" i="7" s="1"/>
  <c r="G488" i="7"/>
  <c r="E488" i="7"/>
  <c r="D488" i="7" s="1"/>
  <c r="E487" i="7"/>
  <c r="P486" i="7"/>
  <c r="N486" i="7" s="1"/>
  <c r="M486" i="7" s="1"/>
  <c r="G486" i="7"/>
  <c r="E486" i="7"/>
  <c r="D486" i="7" s="1"/>
  <c r="P485" i="7"/>
  <c r="N485" i="7" s="1"/>
  <c r="M485" i="7" s="1"/>
  <c r="G485" i="7"/>
  <c r="E485" i="7"/>
  <c r="D485" i="7" s="1"/>
  <c r="P484" i="7"/>
  <c r="N484" i="7" s="1"/>
  <c r="M484" i="7" s="1"/>
  <c r="G484" i="7"/>
  <c r="E484" i="7"/>
  <c r="D484" i="7" s="1"/>
  <c r="P483" i="7"/>
  <c r="N483" i="7" s="1"/>
  <c r="M483" i="7" s="1"/>
  <c r="G483" i="7"/>
  <c r="E483" i="7"/>
  <c r="D483" i="7" s="1"/>
  <c r="P482" i="7"/>
  <c r="N482" i="7" s="1"/>
  <c r="M482" i="7" s="1"/>
  <c r="G482" i="7"/>
  <c r="E482" i="7"/>
  <c r="D482" i="7" s="1"/>
  <c r="P481" i="7"/>
  <c r="N481" i="7" s="1"/>
  <c r="M481" i="7" s="1"/>
  <c r="G481" i="7"/>
  <c r="E481" i="7"/>
  <c r="D481" i="7" s="1"/>
  <c r="P480" i="7"/>
  <c r="N480" i="7" s="1"/>
  <c r="M480" i="7" s="1"/>
  <c r="G480" i="7"/>
  <c r="E480" i="7"/>
  <c r="D480" i="7" s="1"/>
  <c r="P479" i="7"/>
  <c r="N479" i="7" s="1"/>
  <c r="M479" i="7" s="1"/>
  <c r="G479" i="7"/>
  <c r="E479" i="7"/>
  <c r="D479" i="7" s="1"/>
  <c r="P478" i="7"/>
  <c r="N478" i="7" s="1"/>
  <c r="M478" i="7" s="1"/>
  <c r="G478" i="7"/>
  <c r="E478" i="7"/>
  <c r="D478" i="7" s="1"/>
  <c r="P477" i="7"/>
  <c r="N477" i="7" s="1"/>
  <c r="M477" i="7" s="1"/>
  <c r="G477" i="7"/>
  <c r="E477" i="7"/>
  <c r="D477" i="7" s="1"/>
  <c r="P476" i="7"/>
  <c r="N476" i="7" s="1"/>
  <c r="M476" i="7" s="1"/>
  <c r="G476" i="7"/>
  <c r="E476" i="7"/>
  <c r="D476" i="7" s="1"/>
  <c r="P475" i="7"/>
  <c r="N475" i="7" s="1"/>
  <c r="M475" i="7" s="1"/>
  <c r="G475" i="7"/>
  <c r="E475" i="7"/>
  <c r="D475" i="7" s="1"/>
  <c r="P474" i="7"/>
  <c r="N474" i="7" s="1"/>
  <c r="M474" i="7" s="1"/>
  <c r="G474" i="7"/>
  <c r="E474" i="7"/>
  <c r="D474" i="7" s="1"/>
  <c r="P473" i="7"/>
  <c r="N473" i="7" s="1"/>
  <c r="M473" i="7" s="1"/>
  <c r="G473" i="7"/>
  <c r="E473" i="7"/>
  <c r="D473" i="7" s="1"/>
  <c r="P472" i="7"/>
  <c r="N472" i="7" s="1"/>
  <c r="M472" i="7" s="1"/>
  <c r="G472" i="7"/>
  <c r="E472" i="7"/>
  <c r="D472" i="7" s="1"/>
  <c r="P471" i="7"/>
  <c r="N471" i="7" s="1"/>
  <c r="M471" i="7" s="1"/>
  <c r="G471" i="7"/>
  <c r="E471" i="7"/>
  <c r="D471" i="7" s="1"/>
  <c r="P470" i="7"/>
  <c r="N470" i="7" s="1"/>
  <c r="M470" i="7" s="1"/>
  <c r="G470" i="7"/>
  <c r="E470" i="7"/>
  <c r="D470" i="7" s="1"/>
  <c r="P469" i="7"/>
  <c r="N469" i="7" s="1"/>
  <c r="M469" i="7" s="1"/>
  <c r="G469" i="7"/>
  <c r="E469" i="7"/>
  <c r="D469" i="7" s="1"/>
  <c r="P468" i="7"/>
  <c r="N468" i="7" s="1"/>
  <c r="M468" i="7" s="1"/>
  <c r="G468" i="7"/>
  <c r="E468" i="7"/>
  <c r="D468" i="7" s="1"/>
  <c r="P467" i="7"/>
  <c r="N467" i="7" s="1"/>
  <c r="M467" i="7" s="1"/>
  <c r="G467" i="7"/>
  <c r="E467" i="7"/>
  <c r="D467" i="7" s="1"/>
  <c r="P466" i="7"/>
  <c r="N466" i="7" s="1"/>
  <c r="M466" i="7" s="1"/>
  <c r="G466" i="7"/>
  <c r="E466" i="7"/>
  <c r="D466" i="7" s="1"/>
  <c r="P465" i="7"/>
  <c r="N465" i="7" s="1"/>
  <c r="M465" i="7" s="1"/>
  <c r="G465" i="7"/>
  <c r="E465" i="7"/>
  <c r="D465" i="7" s="1"/>
  <c r="P464" i="7"/>
  <c r="N464" i="7" s="1"/>
  <c r="M464" i="7" s="1"/>
  <c r="G464" i="7"/>
  <c r="E464" i="7"/>
  <c r="D464" i="7" s="1"/>
  <c r="P463" i="7"/>
  <c r="N463" i="7" s="1"/>
  <c r="M463" i="7" s="1"/>
  <c r="G463" i="7"/>
  <c r="E463" i="7"/>
  <c r="D463" i="7" s="1"/>
  <c r="P462" i="7"/>
  <c r="N462" i="7" s="1"/>
  <c r="M462" i="7" s="1"/>
  <c r="G462" i="7"/>
  <c r="E462" i="7"/>
  <c r="D462" i="7" s="1"/>
  <c r="P461" i="7"/>
  <c r="N461" i="7" s="1"/>
  <c r="M461" i="7" s="1"/>
  <c r="G461" i="7"/>
  <c r="E461" i="7"/>
  <c r="D461" i="7" s="1"/>
  <c r="P460" i="7"/>
  <c r="N460" i="7" s="1"/>
  <c r="M460" i="7" s="1"/>
  <c r="G460" i="7"/>
  <c r="E460" i="7"/>
  <c r="D460" i="7" s="1"/>
  <c r="P459" i="7"/>
  <c r="N459" i="7" s="1"/>
  <c r="M459" i="7" s="1"/>
  <c r="G459" i="7"/>
  <c r="E459" i="7"/>
  <c r="D459" i="7" s="1"/>
  <c r="P458" i="7"/>
  <c r="N458" i="7" s="1"/>
  <c r="M458" i="7" s="1"/>
  <c r="G458" i="7"/>
  <c r="E458" i="7"/>
  <c r="D458" i="7" s="1"/>
  <c r="P457" i="7"/>
  <c r="N457" i="7" s="1"/>
  <c r="M457" i="7" s="1"/>
  <c r="G457" i="7"/>
  <c r="E457" i="7"/>
  <c r="D457" i="7" s="1"/>
  <c r="C456" i="7"/>
  <c r="A456" i="7"/>
  <c r="N455" i="7"/>
  <c r="M455" i="7" s="1"/>
  <c r="C455" i="7"/>
  <c r="A455" i="7"/>
  <c r="G455" i="7" s="1"/>
  <c r="E455" i="7" s="1"/>
  <c r="D455" i="7" s="1"/>
  <c r="P454" i="7"/>
  <c r="N454" i="7" s="1"/>
  <c r="M454" i="7" s="1"/>
  <c r="A454" i="7"/>
  <c r="G454" i="7" s="1"/>
  <c r="E454" i="7" s="1"/>
  <c r="D454" i="7" s="1"/>
  <c r="P453" i="7"/>
  <c r="N453" i="7" s="1"/>
  <c r="M453" i="7" s="1"/>
  <c r="A453" i="7"/>
  <c r="P452" i="7"/>
  <c r="N452" i="7" s="1"/>
  <c r="M452" i="7" s="1"/>
  <c r="A452" i="7"/>
  <c r="P451" i="7"/>
  <c r="N451" i="7" s="1"/>
  <c r="M451" i="7" s="1"/>
  <c r="A451" i="7"/>
  <c r="G451" i="7" s="1"/>
  <c r="E451" i="7" s="1"/>
  <c r="D451" i="7" s="1"/>
  <c r="P450" i="7"/>
  <c r="N450" i="7" s="1"/>
  <c r="M450" i="7" s="1"/>
  <c r="C450" i="7"/>
  <c r="A450" i="7"/>
  <c r="G450" i="7" s="1"/>
  <c r="E450" i="7" s="1"/>
  <c r="D450" i="7" s="1"/>
  <c r="P449" i="7"/>
  <c r="N449" i="7" s="1"/>
  <c r="M449" i="7" s="1"/>
  <c r="A449" i="7"/>
  <c r="G449" i="7" s="1"/>
  <c r="E449" i="7" s="1"/>
  <c r="D449" i="7" s="1"/>
  <c r="P448" i="7"/>
  <c r="N448" i="7" s="1"/>
  <c r="M448" i="7" s="1"/>
  <c r="C448" i="7"/>
  <c r="A448" i="7"/>
  <c r="G448" i="7" s="1"/>
  <c r="E448" i="7" s="1"/>
  <c r="D448" i="7" s="1"/>
  <c r="P447" i="7"/>
  <c r="N447" i="7" s="1"/>
  <c r="M447" i="7" s="1"/>
  <c r="C447" i="7"/>
  <c r="A447" i="7"/>
  <c r="G447" i="7" s="1"/>
  <c r="E447" i="7" s="1"/>
  <c r="D447" i="7" s="1"/>
  <c r="P446" i="7"/>
  <c r="N446" i="7" s="1"/>
  <c r="M446" i="7" s="1"/>
  <c r="A446" i="7"/>
  <c r="G446" i="7" s="1"/>
  <c r="P445" i="7"/>
  <c r="N445" i="7" s="1"/>
  <c r="M445" i="7" s="1"/>
  <c r="P444" i="7"/>
  <c r="N444" i="7" s="1"/>
  <c r="M444" i="7" s="1"/>
  <c r="G444" i="7"/>
  <c r="E444" i="7" s="1"/>
  <c r="D444" i="7" s="1"/>
  <c r="N443" i="7"/>
  <c r="M443" i="7" s="1"/>
  <c r="A443" i="7"/>
  <c r="P442" i="7"/>
  <c r="N442" i="7" s="1"/>
  <c r="M442" i="7" s="1"/>
  <c r="A442" i="7"/>
  <c r="P441" i="7"/>
  <c r="N441" i="7" s="1"/>
  <c r="M441" i="7" s="1"/>
  <c r="C441" i="7"/>
  <c r="A441" i="7"/>
  <c r="G441" i="7" s="1"/>
  <c r="E441" i="7" s="1"/>
  <c r="D441" i="7" s="1"/>
  <c r="P440" i="7"/>
  <c r="N440" i="7" s="1"/>
  <c r="M440" i="7" s="1"/>
  <c r="A440" i="7"/>
  <c r="P439" i="7"/>
  <c r="N439" i="7" s="1"/>
  <c r="M439" i="7" s="1"/>
  <c r="C439" i="7"/>
  <c r="A439" i="7"/>
  <c r="G439" i="7" s="1"/>
  <c r="P438" i="7"/>
  <c r="N438" i="7" s="1"/>
  <c r="M438" i="7" s="1"/>
  <c r="C438" i="7"/>
  <c r="A438" i="7"/>
  <c r="N437" i="7"/>
  <c r="M437" i="7" s="1"/>
  <c r="G437" i="7"/>
  <c r="E437" i="7"/>
  <c r="P435" i="7"/>
  <c r="N435" i="7" s="1"/>
  <c r="M435" i="7" s="1"/>
  <c r="E435" i="7"/>
  <c r="P434" i="7"/>
  <c r="N434" i="7" s="1"/>
  <c r="M434" i="7" s="1"/>
  <c r="E434" i="7"/>
  <c r="P433" i="7"/>
  <c r="N433" i="7" s="1"/>
  <c r="M433" i="7" s="1"/>
  <c r="E433" i="7"/>
  <c r="P432" i="7"/>
  <c r="N432" i="7" s="1"/>
  <c r="M432" i="7" s="1"/>
  <c r="E432" i="7"/>
  <c r="P431" i="7"/>
  <c r="N431" i="7" s="1"/>
  <c r="M431" i="7" s="1"/>
  <c r="E431" i="7"/>
  <c r="P430" i="7"/>
  <c r="N430" i="7" s="1"/>
  <c r="M430" i="7" s="1"/>
  <c r="E430" i="7"/>
  <c r="P429" i="7"/>
  <c r="N429" i="7" s="1"/>
  <c r="M429" i="7" s="1"/>
  <c r="E429" i="7"/>
  <c r="P428" i="7"/>
  <c r="N428" i="7" s="1"/>
  <c r="M428" i="7" s="1"/>
  <c r="E428" i="7"/>
  <c r="P427" i="7"/>
  <c r="N427" i="7" s="1"/>
  <c r="M427" i="7" s="1"/>
  <c r="E427" i="7"/>
  <c r="P426" i="7"/>
  <c r="N426" i="7" s="1"/>
  <c r="M426" i="7" s="1"/>
  <c r="E426" i="7"/>
  <c r="P425" i="7"/>
  <c r="N425" i="7" s="1"/>
  <c r="M425" i="7" s="1"/>
  <c r="E425" i="7"/>
  <c r="P424" i="7"/>
  <c r="N424" i="7" s="1"/>
  <c r="M424" i="7" s="1"/>
  <c r="E424" i="7"/>
  <c r="N423" i="7"/>
  <c r="M423" i="7" s="1"/>
  <c r="E423" i="7"/>
  <c r="P422" i="7"/>
  <c r="N422" i="7" s="1"/>
  <c r="M422" i="7" s="1"/>
  <c r="E422" i="7"/>
  <c r="P421" i="7"/>
  <c r="N421" i="7" s="1"/>
  <c r="M421" i="7" s="1"/>
  <c r="P420" i="7"/>
  <c r="N420" i="7" s="1"/>
  <c r="M420" i="7" s="1"/>
  <c r="P419" i="7"/>
  <c r="N419" i="7" s="1"/>
  <c r="M419" i="7" s="1"/>
  <c r="P418" i="7"/>
  <c r="N418" i="7" s="1"/>
  <c r="M418" i="7" s="1"/>
  <c r="E418" i="7"/>
  <c r="P417" i="7"/>
  <c r="N417" i="7" s="1"/>
  <c r="M417" i="7" s="1"/>
  <c r="E417" i="7"/>
  <c r="P416" i="7"/>
  <c r="N416" i="7" s="1"/>
  <c r="M416" i="7" s="1"/>
  <c r="E416" i="7"/>
  <c r="P415" i="7"/>
  <c r="N415" i="7" s="1"/>
  <c r="M415" i="7" s="1"/>
  <c r="E415" i="7"/>
  <c r="P414" i="7"/>
  <c r="N414" i="7" s="1"/>
  <c r="M414" i="7" s="1"/>
  <c r="E414" i="7"/>
  <c r="E413" i="7"/>
  <c r="AW412" i="7"/>
  <c r="AL412" i="7" s="1"/>
  <c r="AA412" i="7" s="1"/>
  <c r="AA413" i="7" s="1"/>
  <c r="AV412" i="7"/>
  <c r="AK412" i="7" s="1"/>
  <c r="Z412" i="7" s="1"/>
  <c r="Z413" i="7" s="1"/>
  <c r="AU412" i="7"/>
  <c r="AJ412" i="7" s="1"/>
  <c r="Y412" i="7" s="1"/>
  <c r="Y413" i="7" s="1"/>
  <c r="AT412" i="7"/>
  <c r="AI412" i="7" s="1"/>
  <c r="X412" i="7" s="1"/>
  <c r="X413" i="7" s="1"/>
  <c r="AS412" i="7"/>
  <c r="AH412" i="7" s="1"/>
  <c r="W412" i="7" s="1"/>
  <c r="W413" i="7" s="1"/>
  <c r="AR412" i="7"/>
  <c r="AG412" i="7" s="1"/>
  <c r="V412" i="7" s="1"/>
  <c r="V413" i="7" s="1"/>
  <c r="AQ412" i="7"/>
  <c r="AF412" i="7" s="1"/>
  <c r="U412" i="7" s="1"/>
  <c r="U413" i="7" s="1"/>
  <c r="AP412" i="7"/>
  <c r="AE412" i="7" s="1"/>
  <c r="T412" i="7" s="1"/>
  <c r="T413" i="7" s="1"/>
  <c r="AO412" i="7"/>
  <c r="AD412" i="7" s="1"/>
  <c r="S412" i="7" s="1"/>
  <c r="S413" i="7" s="1"/>
  <c r="E412" i="7"/>
  <c r="N410" i="7"/>
  <c r="M410" i="7" s="1"/>
  <c r="G410" i="7"/>
  <c r="N409" i="7"/>
  <c r="M409" i="7" s="1"/>
  <c r="G409" i="7"/>
  <c r="N408" i="7"/>
  <c r="M408" i="7" s="1"/>
  <c r="G408" i="7"/>
  <c r="N407" i="7"/>
  <c r="M407" i="7" s="1"/>
  <c r="G407" i="7"/>
  <c r="P406" i="7"/>
  <c r="N406" i="7" s="1"/>
  <c r="M406" i="7" s="1"/>
  <c r="G406" i="7"/>
  <c r="P405" i="7"/>
  <c r="N405" i="7" s="1"/>
  <c r="M405" i="7" s="1"/>
  <c r="G405" i="7"/>
  <c r="P404" i="7"/>
  <c r="N404" i="7" s="1"/>
  <c r="M404" i="7" s="1"/>
  <c r="G404" i="7"/>
  <c r="P403" i="7"/>
  <c r="N403" i="7" s="1"/>
  <c r="M403" i="7" s="1"/>
  <c r="G403" i="7"/>
  <c r="P402" i="7"/>
  <c r="N402" i="7" s="1"/>
  <c r="M402" i="7" s="1"/>
  <c r="G402" i="7"/>
  <c r="N401" i="7"/>
  <c r="M401" i="7" s="1"/>
  <c r="G401" i="7"/>
  <c r="N400" i="7"/>
  <c r="M400" i="7" s="1"/>
  <c r="G400" i="7"/>
  <c r="N399" i="7"/>
  <c r="M399" i="7" s="1"/>
  <c r="G399" i="7"/>
  <c r="E398" i="7"/>
  <c r="F397" i="7" s="1"/>
  <c r="N396" i="7"/>
  <c r="M396" i="7" s="1"/>
  <c r="E396" i="7"/>
  <c r="P395" i="7"/>
  <c r="N395" i="7" s="1"/>
  <c r="M395" i="7" s="1"/>
  <c r="E395" i="7"/>
  <c r="P394" i="7"/>
  <c r="N394" i="7" s="1"/>
  <c r="M394" i="7" s="1"/>
  <c r="E394" i="7"/>
  <c r="P393" i="7"/>
  <c r="N393" i="7" s="1"/>
  <c r="M393" i="7" s="1"/>
  <c r="E393" i="7"/>
  <c r="P392" i="7"/>
  <c r="N392" i="7" s="1"/>
  <c r="M392" i="7" s="1"/>
  <c r="E392" i="7"/>
  <c r="P391" i="7"/>
  <c r="N391" i="7" s="1"/>
  <c r="M391" i="7" s="1"/>
  <c r="E391" i="7"/>
  <c r="G390" i="7"/>
  <c r="E390" i="7"/>
  <c r="P389" i="7"/>
  <c r="N389" i="7" s="1"/>
  <c r="M389" i="7" s="1"/>
  <c r="G389" i="7"/>
  <c r="E389" i="7"/>
  <c r="G388" i="7"/>
  <c r="E388" i="7"/>
  <c r="D388" i="7" s="1"/>
  <c r="P387" i="7"/>
  <c r="N387" i="7" s="1"/>
  <c r="M387" i="7" s="1"/>
  <c r="G387" i="7"/>
  <c r="E387" i="7"/>
  <c r="D387" i="7" s="1"/>
  <c r="P386" i="7"/>
  <c r="N386" i="7" s="1"/>
  <c r="M386" i="7" s="1"/>
  <c r="G386" i="7"/>
  <c r="E386" i="7"/>
  <c r="D386" i="7" s="1"/>
  <c r="P385" i="7"/>
  <c r="N385" i="7" s="1"/>
  <c r="M385" i="7" s="1"/>
  <c r="G385" i="7"/>
  <c r="E385" i="7"/>
  <c r="D385" i="7" s="1"/>
  <c r="P384" i="7"/>
  <c r="N384" i="7" s="1"/>
  <c r="M384" i="7" s="1"/>
  <c r="G384" i="7"/>
  <c r="E384" i="7"/>
  <c r="D384" i="7" s="1"/>
  <c r="G383" i="7"/>
  <c r="E383" i="7"/>
  <c r="D383" i="7" s="1"/>
  <c r="M382" i="7"/>
  <c r="G382" i="7"/>
  <c r="E382" i="7"/>
  <c r="D382" i="7" s="1"/>
  <c r="C382" i="7"/>
  <c r="M381" i="7"/>
  <c r="G381" i="7"/>
  <c r="E381" i="7"/>
  <c r="D381" i="7" s="1"/>
  <c r="C381" i="7"/>
  <c r="G380" i="7"/>
  <c r="E380" i="7"/>
  <c r="D380" i="7" s="1"/>
  <c r="P379" i="7"/>
  <c r="N379" i="7" s="1"/>
  <c r="M379" i="7" s="1"/>
  <c r="G379" i="7"/>
  <c r="E379" i="7"/>
  <c r="D379" i="7" s="1"/>
  <c r="P378" i="7"/>
  <c r="N378" i="7" s="1"/>
  <c r="M378" i="7" s="1"/>
  <c r="G378" i="7"/>
  <c r="E378" i="7"/>
  <c r="D378" i="7" s="1"/>
  <c r="P377" i="7"/>
  <c r="N377" i="7" s="1"/>
  <c r="M377" i="7" s="1"/>
  <c r="G377" i="7"/>
  <c r="E377" i="7"/>
  <c r="D377" i="7" s="1"/>
  <c r="G376" i="7"/>
  <c r="E376" i="7"/>
  <c r="D376" i="7" s="1"/>
  <c r="P375" i="7"/>
  <c r="N375" i="7" s="1"/>
  <c r="M375" i="7" s="1"/>
  <c r="G375" i="7"/>
  <c r="E375" i="7"/>
  <c r="D375" i="7" s="1"/>
  <c r="P374" i="7"/>
  <c r="N374" i="7" s="1"/>
  <c r="M374" i="7" s="1"/>
  <c r="G374" i="7"/>
  <c r="E374" i="7"/>
  <c r="D374" i="7" s="1"/>
  <c r="P373" i="7"/>
  <c r="N373" i="7" s="1"/>
  <c r="M373" i="7" s="1"/>
  <c r="G373" i="7"/>
  <c r="E373" i="7"/>
  <c r="D373" i="7" s="1"/>
  <c r="P372" i="7"/>
  <c r="N372" i="7" s="1"/>
  <c r="M372" i="7" s="1"/>
  <c r="G372" i="7"/>
  <c r="E372" i="7"/>
  <c r="D372" i="7" s="1"/>
  <c r="P371" i="7"/>
  <c r="N371" i="7" s="1"/>
  <c r="M371" i="7" s="1"/>
  <c r="G371" i="7"/>
  <c r="E371" i="7"/>
  <c r="D371" i="7" s="1"/>
  <c r="P370" i="7"/>
  <c r="N370" i="7" s="1"/>
  <c r="M370" i="7" s="1"/>
  <c r="G370" i="7"/>
  <c r="E370" i="7"/>
  <c r="D370" i="7" s="1"/>
  <c r="P369" i="7"/>
  <c r="N369" i="7" s="1"/>
  <c r="M369" i="7" s="1"/>
  <c r="G369" i="7"/>
  <c r="E369" i="7"/>
  <c r="D369" i="7" s="1"/>
  <c r="P368" i="7"/>
  <c r="N368" i="7" s="1"/>
  <c r="M368" i="7" s="1"/>
  <c r="G368" i="7"/>
  <c r="E368" i="7"/>
  <c r="D368" i="7" s="1"/>
  <c r="P367" i="7"/>
  <c r="N367" i="7" s="1"/>
  <c r="M367" i="7" s="1"/>
  <c r="G367" i="7"/>
  <c r="E367" i="7"/>
  <c r="D367" i="7" s="1"/>
  <c r="P366" i="7"/>
  <c r="N366" i="7" s="1"/>
  <c r="M366" i="7" s="1"/>
  <c r="G366" i="7"/>
  <c r="E366" i="7"/>
  <c r="D366" i="7" s="1"/>
  <c r="G365" i="7"/>
  <c r="E365" i="7"/>
  <c r="D365" i="7" s="1"/>
  <c r="M364" i="7"/>
  <c r="G364" i="7"/>
  <c r="E364" i="7"/>
  <c r="D364" i="7" s="1"/>
  <c r="C364" i="7"/>
  <c r="M363" i="7"/>
  <c r="G363" i="7"/>
  <c r="E363" i="7"/>
  <c r="D363" i="7" s="1"/>
  <c r="C363" i="7"/>
  <c r="G362" i="7"/>
  <c r="E362" i="7"/>
  <c r="D362" i="7" s="1"/>
  <c r="P361" i="7"/>
  <c r="N361" i="7" s="1"/>
  <c r="M361" i="7" s="1"/>
  <c r="G361" i="7"/>
  <c r="E361" i="7"/>
  <c r="D361" i="7" s="1"/>
  <c r="P360" i="7"/>
  <c r="N360" i="7" s="1"/>
  <c r="M360" i="7" s="1"/>
  <c r="G360" i="7"/>
  <c r="E360" i="7"/>
  <c r="D360" i="7" s="1"/>
  <c r="P359" i="7"/>
  <c r="N359" i="7" s="1"/>
  <c r="M359" i="7" s="1"/>
  <c r="G359" i="7"/>
  <c r="E359" i="7"/>
  <c r="D359" i="7" s="1"/>
  <c r="P358" i="7"/>
  <c r="N358" i="7" s="1"/>
  <c r="M358" i="7" s="1"/>
  <c r="G358" i="7"/>
  <c r="E358" i="7"/>
  <c r="D358" i="7" s="1"/>
  <c r="P357" i="7"/>
  <c r="N357" i="7" s="1"/>
  <c r="M357" i="7" s="1"/>
  <c r="G357" i="7"/>
  <c r="E357" i="7"/>
  <c r="D357" i="7" s="1"/>
  <c r="P356" i="7"/>
  <c r="N356" i="7" s="1"/>
  <c r="M356" i="7" s="1"/>
  <c r="G356" i="7"/>
  <c r="E356" i="7"/>
  <c r="D356" i="7" s="1"/>
  <c r="P355" i="7"/>
  <c r="N355" i="7" s="1"/>
  <c r="M355" i="7" s="1"/>
  <c r="G355" i="7"/>
  <c r="E355" i="7"/>
  <c r="D355" i="7" s="1"/>
  <c r="P354" i="7"/>
  <c r="N354" i="7" s="1"/>
  <c r="M354" i="7" s="1"/>
  <c r="G354" i="7"/>
  <c r="E354" i="7"/>
  <c r="D354" i="7" s="1"/>
  <c r="P353" i="7"/>
  <c r="N353" i="7" s="1"/>
  <c r="M353" i="7" s="1"/>
  <c r="G353" i="7"/>
  <c r="E353" i="7"/>
  <c r="D353" i="7" s="1"/>
  <c r="P352" i="7"/>
  <c r="N352" i="7" s="1"/>
  <c r="M352" i="7" s="1"/>
  <c r="G352" i="7"/>
  <c r="E352" i="7"/>
  <c r="D352" i="7" s="1"/>
  <c r="P351" i="7"/>
  <c r="N351" i="7" s="1"/>
  <c r="M351" i="7" s="1"/>
  <c r="G351" i="7"/>
  <c r="E351" i="7"/>
  <c r="D351" i="7" s="1"/>
  <c r="P350" i="7"/>
  <c r="N350" i="7" s="1"/>
  <c r="M350" i="7" s="1"/>
  <c r="G350" i="7"/>
  <c r="E350" i="7"/>
  <c r="D350" i="7" s="1"/>
  <c r="P349" i="7"/>
  <c r="N349" i="7" s="1"/>
  <c r="M349" i="7" s="1"/>
  <c r="G349" i="7"/>
  <c r="E349" i="7"/>
  <c r="D349" i="7" s="1"/>
  <c r="P348" i="7"/>
  <c r="N348" i="7" s="1"/>
  <c r="M348" i="7" s="1"/>
  <c r="G348" i="7"/>
  <c r="E348" i="7"/>
  <c r="D348" i="7" s="1"/>
  <c r="P347" i="7"/>
  <c r="N347" i="7" s="1"/>
  <c r="M347" i="7" s="1"/>
  <c r="G347" i="7"/>
  <c r="E347" i="7"/>
  <c r="D347" i="7" s="1"/>
  <c r="P346" i="7"/>
  <c r="N346" i="7" s="1"/>
  <c r="M346" i="7" s="1"/>
  <c r="G346" i="7"/>
  <c r="E346" i="7"/>
  <c r="D346" i="7" s="1"/>
  <c r="P345" i="7"/>
  <c r="N345" i="7" s="1"/>
  <c r="M345" i="7" s="1"/>
  <c r="G345" i="7"/>
  <c r="E345" i="7"/>
  <c r="D345" i="7" s="1"/>
  <c r="P344" i="7"/>
  <c r="N344" i="7" s="1"/>
  <c r="M344" i="7" s="1"/>
  <c r="G344" i="7"/>
  <c r="E344" i="7"/>
  <c r="D344" i="7" s="1"/>
  <c r="P343" i="7"/>
  <c r="N343" i="7" s="1"/>
  <c r="M343" i="7" s="1"/>
  <c r="G343" i="7"/>
  <c r="E343" i="7"/>
  <c r="D343" i="7" s="1"/>
  <c r="P342" i="7"/>
  <c r="N342" i="7" s="1"/>
  <c r="M342" i="7" s="1"/>
  <c r="G342" i="7"/>
  <c r="E342" i="7"/>
  <c r="D342" i="7" s="1"/>
  <c r="P341" i="7"/>
  <c r="N341" i="7" s="1"/>
  <c r="M341" i="7" s="1"/>
  <c r="G341" i="7"/>
  <c r="E341" i="7"/>
  <c r="D341" i="7" s="1"/>
  <c r="Z340" i="7"/>
  <c r="X340" i="7"/>
  <c r="P340" i="7"/>
  <c r="N340" i="7" s="1"/>
  <c r="M340" i="7" s="1"/>
  <c r="G340" i="7"/>
  <c r="E340" i="7"/>
  <c r="D340" i="7" s="1"/>
  <c r="G339" i="7"/>
  <c r="E339" i="7"/>
  <c r="D339" i="7" s="1"/>
  <c r="P338" i="7"/>
  <c r="N338" i="7" s="1"/>
  <c r="M338" i="7" s="1"/>
  <c r="G338" i="7"/>
  <c r="E338" i="7"/>
  <c r="D338" i="7" s="1"/>
  <c r="AT337" i="7"/>
  <c r="AH337" i="7" s="1"/>
  <c r="V337" i="7" s="1"/>
  <c r="P337" i="7"/>
  <c r="N337" i="7" s="1"/>
  <c r="M337" i="7" s="1"/>
  <c r="G337" i="7"/>
  <c r="E337" i="7"/>
  <c r="D337" i="7" s="1"/>
  <c r="AZ336" i="7"/>
  <c r="AN336" i="7" s="1"/>
  <c r="AB336" i="7" s="1"/>
  <c r="AY336" i="7"/>
  <c r="AM336" i="7" s="1"/>
  <c r="AA336" i="7" s="1"/>
  <c r="AX336" i="7"/>
  <c r="AL336" i="7" s="1"/>
  <c r="Z336" i="7" s="1"/>
  <c r="AW336" i="7"/>
  <c r="AK336" i="7" s="1"/>
  <c r="Y336" i="7" s="1"/>
  <c r="AV336" i="7"/>
  <c r="AJ336" i="7" s="1"/>
  <c r="X336" i="7" s="1"/>
  <c r="AU336" i="7"/>
  <c r="AI336" i="7" s="1"/>
  <c r="W336" i="7" s="1"/>
  <c r="AT336" i="7"/>
  <c r="AH336" i="7" s="1"/>
  <c r="V336" i="7" s="1"/>
  <c r="P336" i="7"/>
  <c r="N336" i="7" s="1"/>
  <c r="M336" i="7" s="1"/>
  <c r="G336" i="7"/>
  <c r="E336" i="7"/>
  <c r="D336" i="7" s="1"/>
  <c r="AZ335" i="7"/>
  <c r="AN335" i="7" s="1"/>
  <c r="AY335" i="7"/>
  <c r="AM335" i="7" s="1"/>
  <c r="AA335" i="7" s="1"/>
  <c r="AX335" i="7"/>
  <c r="AL335" i="7" s="1"/>
  <c r="Z335" i="7" s="1"/>
  <c r="AW335" i="7"/>
  <c r="AV335" i="7"/>
  <c r="AJ335" i="7" s="1"/>
  <c r="X335" i="7" s="1"/>
  <c r="AU335" i="7"/>
  <c r="AI335" i="7" s="1"/>
  <c r="W335" i="7" s="1"/>
  <c r="AT335" i="7"/>
  <c r="AH335" i="7" s="1"/>
  <c r="V335" i="7" s="1"/>
  <c r="AK335" i="7"/>
  <c r="Y335" i="7" s="1"/>
  <c r="AB335" i="7"/>
  <c r="P335" i="7"/>
  <c r="N335" i="7" s="1"/>
  <c r="M335" i="7" s="1"/>
  <c r="G335" i="7"/>
  <c r="E335" i="7"/>
  <c r="D335" i="7" s="1"/>
  <c r="AZ334" i="7"/>
  <c r="AN334" i="7" s="1"/>
  <c r="AB334" i="7" s="1"/>
  <c r="AY334" i="7"/>
  <c r="AM334" i="7" s="1"/>
  <c r="AA334" i="7" s="1"/>
  <c r="AX334" i="7"/>
  <c r="AL334" i="7" s="1"/>
  <c r="Z334" i="7" s="1"/>
  <c r="AW334" i="7"/>
  <c r="AK334" i="7" s="1"/>
  <c r="Y334" i="7" s="1"/>
  <c r="AV334" i="7"/>
  <c r="AJ334" i="7" s="1"/>
  <c r="X334" i="7" s="1"/>
  <c r="AU334" i="7"/>
  <c r="AI334" i="7" s="1"/>
  <c r="W334" i="7" s="1"/>
  <c r="AT334" i="7"/>
  <c r="AH334" i="7" s="1"/>
  <c r="V334" i="7" s="1"/>
  <c r="P334" i="7"/>
  <c r="N334" i="7" s="1"/>
  <c r="M334" i="7" s="1"/>
  <c r="G334" i="7"/>
  <c r="E334" i="7"/>
  <c r="D334" i="7" s="1"/>
  <c r="BB333" i="7"/>
  <c r="AP333" i="7" s="1"/>
  <c r="AD333" i="7" s="1"/>
  <c r="BA333" i="7"/>
  <c r="AZ333" i="7"/>
  <c r="AY333" i="7"/>
  <c r="AX333" i="7"/>
  <c r="AL333" i="7" s="1"/>
  <c r="Z333" i="7" s="1"/>
  <c r="AW333" i="7"/>
  <c r="AK333" i="7" s="1"/>
  <c r="Y333" i="7" s="1"/>
  <c r="AV333" i="7"/>
  <c r="AJ333" i="7" s="1"/>
  <c r="X333" i="7" s="1"/>
  <c r="AU333" i="7"/>
  <c r="AI333" i="7" s="1"/>
  <c r="W333" i="7" s="1"/>
  <c r="AT333" i="7"/>
  <c r="AH333" i="7" s="1"/>
  <c r="V333" i="7" s="1"/>
  <c r="AO333" i="7"/>
  <c r="AC333" i="7" s="1"/>
  <c r="AN333" i="7"/>
  <c r="AB333" i="7" s="1"/>
  <c r="AM333" i="7"/>
  <c r="AA333" i="7" s="1"/>
  <c r="P333" i="7"/>
  <c r="N333" i="7" s="1"/>
  <c r="M333" i="7" s="1"/>
  <c r="G333" i="7"/>
  <c r="E333" i="7"/>
  <c r="D333" i="7" s="1"/>
  <c r="AY332" i="7"/>
  <c r="AM332" i="7" s="1"/>
  <c r="AA332" i="7" s="1"/>
  <c r="AX332" i="7"/>
  <c r="AL332" i="7" s="1"/>
  <c r="Z332" i="7" s="1"/>
  <c r="P332" i="7"/>
  <c r="N332" i="7" s="1"/>
  <c r="M332" i="7" s="1"/>
  <c r="G332" i="7"/>
  <c r="E332" i="7"/>
  <c r="D332" i="7" s="1"/>
  <c r="BB331" i="7"/>
  <c r="AP331" i="7" s="1"/>
  <c r="AD331" i="7" s="1"/>
  <c r="BA331" i="7"/>
  <c r="AO331" i="7" s="1"/>
  <c r="AC331" i="7" s="1"/>
  <c r="AZ331" i="7"/>
  <c r="AN331" i="7" s="1"/>
  <c r="AB331" i="7" s="1"/>
  <c r="AY331" i="7"/>
  <c r="AM331" i="7" s="1"/>
  <c r="AA331" i="7" s="1"/>
  <c r="AX331" i="7"/>
  <c r="AL331" i="7" s="1"/>
  <c r="Z331" i="7" s="1"/>
  <c r="AW331" i="7"/>
  <c r="AK331" i="7" s="1"/>
  <c r="Y331" i="7" s="1"/>
  <c r="AV331" i="7"/>
  <c r="AJ331" i="7" s="1"/>
  <c r="X331" i="7" s="1"/>
  <c r="AU331" i="7"/>
  <c r="AI331" i="7" s="1"/>
  <c r="W331" i="7" s="1"/>
  <c r="AT331" i="7"/>
  <c r="AH331" i="7" s="1"/>
  <c r="V331" i="7" s="1"/>
  <c r="P331" i="7"/>
  <c r="N331" i="7" s="1"/>
  <c r="M331" i="7" s="1"/>
  <c r="G331" i="7"/>
  <c r="E331" i="7"/>
  <c r="D331" i="7" s="1"/>
  <c r="AS330" i="7"/>
  <c r="AG330" i="7" s="1"/>
  <c r="U330" i="7" s="1"/>
  <c r="P330" i="7"/>
  <c r="N330" i="7" s="1"/>
  <c r="M330" i="7" s="1"/>
  <c r="G330" i="7"/>
  <c r="E330" i="7"/>
  <c r="D330" i="7" s="1"/>
  <c r="AS329" i="7"/>
  <c r="AG329" i="7" s="1"/>
  <c r="U329" i="7" s="1"/>
  <c r="G329" i="7"/>
  <c r="E329" i="7"/>
  <c r="P328" i="7"/>
  <c r="N328" i="7" s="1"/>
  <c r="M328" i="7" s="1"/>
  <c r="G328" i="7"/>
  <c r="E328" i="7"/>
  <c r="D328" i="7" s="1"/>
  <c r="N327" i="7"/>
  <c r="M327" i="7" s="1"/>
  <c r="G327" i="7"/>
  <c r="E327" i="7"/>
  <c r="D327" i="7" s="1"/>
  <c r="A326" i="7"/>
  <c r="A285" i="7" s="1"/>
  <c r="G325" i="7"/>
  <c r="E325" i="7"/>
  <c r="D325" i="7" s="1"/>
  <c r="C325" i="7"/>
  <c r="P323" i="7"/>
  <c r="N323" i="7" s="1"/>
  <c r="M323" i="7" s="1"/>
  <c r="G323" i="7"/>
  <c r="E323" i="7"/>
  <c r="D323" i="7" s="1"/>
  <c r="P322" i="7"/>
  <c r="N322" i="7" s="1"/>
  <c r="M322" i="7" s="1"/>
  <c r="G322" i="7"/>
  <c r="E322" i="7"/>
  <c r="D322" i="7" s="1"/>
  <c r="P321" i="7"/>
  <c r="N321" i="7" s="1"/>
  <c r="M321" i="7" s="1"/>
  <c r="G321" i="7"/>
  <c r="E321" i="7"/>
  <c r="D321" i="7" s="1"/>
  <c r="P320" i="7"/>
  <c r="N320" i="7" s="1"/>
  <c r="M320" i="7" s="1"/>
  <c r="G320" i="7"/>
  <c r="E320" i="7"/>
  <c r="D320" i="7" s="1"/>
  <c r="P319" i="7"/>
  <c r="N319" i="7" s="1"/>
  <c r="M319" i="7" s="1"/>
  <c r="G319" i="7"/>
  <c r="E319" i="7"/>
  <c r="D319" i="7" s="1"/>
  <c r="P317" i="7"/>
  <c r="N317" i="7" s="1"/>
  <c r="M317" i="7" s="1"/>
  <c r="G317" i="7"/>
  <c r="E317" i="7"/>
  <c r="D317" i="7" s="1"/>
  <c r="P316" i="7"/>
  <c r="N316" i="7" s="1"/>
  <c r="M316" i="7" s="1"/>
  <c r="G316" i="7"/>
  <c r="E316" i="7"/>
  <c r="D316" i="7" s="1"/>
  <c r="P315" i="7"/>
  <c r="N315" i="7" s="1"/>
  <c r="M315" i="7" s="1"/>
  <c r="G315" i="7"/>
  <c r="E315" i="7"/>
  <c r="D315" i="7" s="1"/>
  <c r="G314" i="7"/>
  <c r="E314" i="7"/>
  <c r="D314" i="7" s="1"/>
  <c r="P313" i="7"/>
  <c r="N313" i="7" s="1"/>
  <c r="M313" i="7" s="1"/>
  <c r="G313" i="7"/>
  <c r="E313" i="7"/>
  <c r="D313" i="7" s="1"/>
  <c r="N312" i="7"/>
  <c r="M312" i="7" s="1"/>
  <c r="G312" i="7"/>
  <c r="E312" i="7"/>
  <c r="D312" i="7" s="1"/>
  <c r="P311" i="7"/>
  <c r="N311" i="7" s="1"/>
  <c r="M311" i="7" s="1"/>
  <c r="G311" i="7"/>
  <c r="E311" i="7"/>
  <c r="D311" i="7" s="1"/>
  <c r="P310" i="7"/>
  <c r="N310" i="7" s="1"/>
  <c r="M310" i="7" s="1"/>
  <c r="G310" i="7"/>
  <c r="E310" i="7"/>
  <c r="D310" i="7" s="1"/>
  <c r="G309" i="7"/>
  <c r="E309" i="7"/>
  <c r="D309" i="7" s="1"/>
  <c r="G308" i="7"/>
  <c r="E308" i="7"/>
  <c r="D308" i="7" s="1"/>
  <c r="P307" i="7"/>
  <c r="N307" i="7" s="1"/>
  <c r="M307" i="7" s="1"/>
  <c r="G307" i="7"/>
  <c r="E307" i="7"/>
  <c r="D307" i="7" s="1"/>
  <c r="N306" i="7"/>
  <c r="M306" i="7" s="1"/>
  <c r="G306" i="7"/>
  <c r="E306" i="7"/>
  <c r="D306" i="7" s="1"/>
  <c r="G305" i="7"/>
  <c r="E305" i="7"/>
  <c r="D305" i="7" s="1"/>
  <c r="P304" i="7"/>
  <c r="N304" i="7" s="1"/>
  <c r="M304" i="7" s="1"/>
  <c r="G304" i="7"/>
  <c r="E304" i="7"/>
  <c r="D304" i="7" s="1"/>
  <c r="P303" i="7"/>
  <c r="N303" i="7" s="1"/>
  <c r="M303" i="7" s="1"/>
  <c r="G303" i="7"/>
  <c r="E303" i="7"/>
  <c r="D303" i="7" s="1"/>
  <c r="P302" i="7"/>
  <c r="N302" i="7" s="1"/>
  <c r="M302" i="7" s="1"/>
  <c r="G302" i="7"/>
  <c r="E302" i="7"/>
  <c r="D302" i="7" s="1"/>
  <c r="P301" i="7"/>
  <c r="N301" i="7" s="1"/>
  <c r="M301" i="7" s="1"/>
  <c r="G301" i="7"/>
  <c r="E301" i="7"/>
  <c r="D301" i="7" s="1"/>
  <c r="P300" i="7"/>
  <c r="N300" i="7" s="1"/>
  <c r="M300" i="7" s="1"/>
  <c r="G300" i="7"/>
  <c r="E300" i="7"/>
  <c r="D300" i="7" s="1"/>
  <c r="G299" i="7"/>
  <c r="E299" i="7"/>
  <c r="D299" i="7" s="1"/>
  <c r="G298" i="7"/>
  <c r="E298" i="7"/>
  <c r="D298" i="7" s="1"/>
  <c r="G297" i="7"/>
  <c r="E297" i="7"/>
  <c r="D297" i="7" s="1"/>
  <c r="G296" i="7"/>
  <c r="E296" i="7"/>
  <c r="D296" i="7" s="1"/>
  <c r="G295" i="7"/>
  <c r="E295" i="7"/>
  <c r="D295" i="7" s="1"/>
  <c r="G294" i="7"/>
  <c r="E294" i="7"/>
  <c r="D294" i="7" s="1"/>
  <c r="N293" i="7"/>
  <c r="M293" i="7" s="1"/>
  <c r="G293" i="7"/>
  <c r="E293" i="7"/>
  <c r="D293" i="7" s="1"/>
  <c r="G292" i="7"/>
  <c r="E292" i="7"/>
  <c r="D292" i="7" s="1"/>
  <c r="P291" i="7"/>
  <c r="N291" i="7" s="1"/>
  <c r="M291" i="7" s="1"/>
  <c r="G291" i="7"/>
  <c r="E291" i="7"/>
  <c r="D291" i="7" s="1"/>
  <c r="G290" i="7"/>
  <c r="E290" i="7"/>
  <c r="D290" i="7" s="1"/>
  <c r="G289" i="7"/>
  <c r="E289" i="7"/>
  <c r="D289" i="7" s="1"/>
  <c r="G288" i="7"/>
  <c r="E288" i="7"/>
  <c r="D288" i="7" s="1"/>
  <c r="G287" i="7"/>
  <c r="E287" i="7"/>
  <c r="D287" i="7" s="1"/>
  <c r="G286" i="7"/>
  <c r="E286" i="7"/>
  <c r="D286" i="7" s="1"/>
  <c r="P284" i="7"/>
  <c r="N284" i="7" s="1"/>
  <c r="M284" i="7" s="1"/>
  <c r="G284" i="7"/>
  <c r="P283" i="7"/>
  <c r="N283" i="7" s="1"/>
  <c r="M283" i="7" s="1"/>
  <c r="G283" i="7"/>
  <c r="P282" i="7"/>
  <c r="N282" i="7" s="1"/>
  <c r="M282" i="7" s="1"/>
  <c r="G282" i="7"/>
  <c r="P281" i="7"/>
  <c r="N281" i="7" s="1"/>
  <c r="M281" i="7" s="1"/>
  <c r="G281" i="7"/>
  <c r="P280" i="7"/>
  <c r="N280" i="7" s="1"/>
  <c r="M280" i="7" s="1"/>
  <c r="G280" i="7"/>
  <c r="P279" i="7"/>
  <c r="N279" i="7" s="1"/>
  <c r="M279" i="7" s="1"/>
  <c r="G279" i="7"/>
  <c r="P278" i="7"/>
  <c r="N278" i="7" s="1"/>
  <c r="M278" i="7" s="1"/>
  <c r="G278" i="7"/>
  <c r="P277" i="7"/>
  <c r="N277" i="7" s="1"/>
  <c r="M277" i="7" s="1"/>
  <c r="G277" i="7"/>
  <c r="P276" i="7"/>
  <c r="N276" i="7" s="1"/>
  <c r="M276" i="7" s="1"/>
  <c r="G276" i="7"/>
  <c r="E275" i="7"/>
  <c r="P273" i="7"/>
  <c r="N273" i="7" s="1"/>
  <c r="M273" i="7" s="1"/>
  <c r="P272" i="7"/>
  <c r="N272" i="7" s="1"/>
  <c r="M272" i="7" s="1"/>
  <c r="P271" i="7"/>
  <c r="N271" i="7" s="1"/>
  <c r="M271" i="7" s="1"/>
  <c r="C271" i="7"/>
  <c r="M270" i="7"/>
  <c r="C270" i="7"/>
  <c r="M269" i="7"/>
  <c r="C269" i="7"/>
  <c r="M268" i="7"/>
  <c r="C268" i="7"/>
  <c r="M267" i="7"/>
  <c r="C267" i="7"/>
  <c r="P266" i="7"/>
  <c r="N266" i="7" s="1"/>
  <c r="M266" i="7" s="1"/>
  <c r="C266" i="7"/>
  <c r="P265" i="7"/>
  <c r="N265" i="7" s="1"/>
  <c r="M265" i="7" s="1"/>
  <c r="C265" i="7"/>
  <c r="P264" i="7"/>
  <c r="N264" i="7" s="1"/>
  <c r="M264" i="7" s="1"/>
  <c r="C264" i="7"/>
  <c r="C262" i="7"/>
  <c r="A262" i="7"/>
  <c r="A263" i="7" s="1"/>
  <c r="E261" i="7"/>
  <c r="P259" i="7"/>
  <c r="N259" i="7" s="1"/>
  <c r="M259" i="7" s="1"/>
  <c r="P258" i="7"/>
  <c r="N258" i="7" s="1"/>
  <c r="M258" i="7" s="1"/>
  <c r="P257" i="7"/>
  <c r="N257" i="7" s="1"/>
  <c r="M257" i="7" s="1"/>
  <c r="C257" i="7"/>
  <c r="M256" i="7"/>
  <c r="C256" i="7"/>
  <c r="M255" i="7"/>
  <c r="C255" i="7"/>
  <c r="M254" i="7"/>
  <c r="C254" i="7"/>
  <c r="M253" i="7"/>
  <c r="C253" i="7"/>
  <c r="P252" i="7"/>
  <c r="N252" i="7" s="1"/>
  <c r="M252" i="7" s="1"/>
  <c r="C252" i="7"/>
  <c r="P251" i="7"/>
  <c r="N251" i="7" s="1"/>
  <c r="M251" i="7" s="1"/>
  <c r="C251" i="7"/>
  <c r="P250" i="7"/>
  <c r="N250" i="7" s="1"/>
  <c r="M250" i="7" s="1"/>
  <c r="C250" i="7"/>
  <c r="P248" i="7"/>
  <c r="N248" i="7" s="1"/>
  <c r="M248" i="7" s="1"/>
  <c r="C248" i="7"/>
  <c r="C247" i="7"/>
  <c r="C246" i="7"/>
  <c r="C245" i="7"/>
  <c r="A245" i="7"/>
  <c r="E244" i="7"/>
  <c r="P242" i="7"/>
  <c r="N242" i="7" s="1"/>
  <c r="M242" i="7" s="1"/>
  <c r="P241" i="7"/>
  <c r="N241" i="7" s="1"/>
  <c r="M241" i="7" s="1"/>
  <c r="P240" i="7"/>
  <c r="N240" i="7" s="1"/>
  <c r="M240" i="7" s="1"/>
  <c r="C240" i="7"/>
  <c r="M239" i="7"/>
  <c r="C239" i="7"/>
  <c r="M238" i="7"/>
  <c r="C238" i="7"/>
  <c r="M237" i="7"/>
  <c r="C237" i="7"/>
  <c r="M236" i="7"/>
  <c r="C236" i="7"/>
  <c r="P235" i="7"/>
  <c r="N235" i="7" s="1"/>
  <c r="M235" i="7" s="1"/>
  <c r="C235" i="7"/>
  <c r="P234" i="7"/>
  <c r="N234" i="7" s="1"/>
  <c r="M234" i="7" s="1"/>
  <c r="C234" i="7"/>
  <c r="P233" i="7"/>
  <c r="N233" i="7" s="1"/>
  <c r="M233" i="7" s="1"/>
  <c r="C233" i="7"/>
  <c r="A231" i="7"/>
  <c r="G231" i="7" s="1"/>
  <c r="E230" i="7"/>
  <c r="P228" i="7"/>
  <c r="N228" i="7" s="1"/>
  <c r="M228" i="7" s="1"/>
  <c r="P227" i="7"/>
  <c r="N227" i="7" s="1"/>
  <c r="M227" i="7" s="1"/>
  <c r="P226" i="7"/>
  <c r="N226" i="7" s="1"/>
  <c r="M226" i="7" s="1"/>
  <c r="C226" i="7"/>
  <c r="M225" i="7"/>
  <c r="C225" i="7"/>
  <c r="AP224" i="7"/>
  <c r="AJ224" i="7" s="1"/>
  <c r="W224" i="7" s="1"/>
  <c r="AO224" i="7"/>
  <c r="AN224" i="7"/>
  <c r="AH224" i="7" s="1"/>
  <c r="U224" i="7" s="1"/>
  <c r="AM224" i="7"/>
  <c r="AG224" i="7" s="1"/>
  <c r="T224" i="7" s="1"/>
  <c r="AI224" i="7"/>
  <c r="V224" i="7" s="1"/>
  <c r="M224" i="7"/>
  <c r="C224" i="7"/>
  <c r="AP223" i="7"/>
  <c r="AJ223" i="7" s="1"/>
  <c r="W223" i="7" s="1"/>
  <c r="AO223" i="7"/>
  <c r="AI223" i="7" s="1"/>
  <c r="V223" i="7" s="1"/>
  <c r="AN223" i="7"/>
  <c r="AH223" i="7" s="1"/>
  <c r="U223" i="7" s="1"/>
  <c r="AM223" i="7"/>
  <c r="AG223" i="7" s="1"/>
  <c r="T223" i="7" s="1"/>
  <c r="P223" i="7"/>
  <c r="N223" i="7" s="1"/>
  <c r="M223" i="7" s="1"/>
  <c r="C223" i="7"/>
  <c r="AP222" i="7"/>
  <c r="AJ222" i="7" s="1"/>
  <c r="W222" i="7" s="1"/>
  <c r="AO222" i="7"/>
  <c r="AN222" i="7"/>
  <c r="AH222" i="7" s="1"/>
  <c r="U222" i="7" s="1"/>
  <c r="AM222" i="7"/>
  <c r="AG222" i="7" s="1"/>
  <c r="T222" i="7" s="1"/>
  <c r="AI222" i="7"/>
  <c r="V222" i="7" s="1"/>
  <c r="P222" i="7"/>
  <c r="N222" i="7" s="1"/>
  <c r="M222" i="7" s="1"/>
  <c r="C222" i="7"/>
  <c r="AP221" i="7"/>
  <c r="AJ221" i="7" s="1"/>
  <c r="W221" i="7" s="1"/>
  <c r="AO221" i="7"/>
  <c r="AI221" i="7" s="1"/>
  <c r="V221" i="7" s="1"/>
  <c r="AN221" i="7"/>
  <c r="AM221" i="7"/>
  <c r="AG221" i="7" s="1"/>
  <c r="T221" i="7" s="1"/>
  <c r="AH221" i="7"/>
  <c r="U221" i="7" s="1"/>
  <c r="AP220" i="7"/>
  <c r="AO220" i="7"/>
  <c r="AI220" i="7" s="1"/>
  <c r="V220" i="7" s="1"/>
  <c r="AN220" i="7"/>
  <c r="AH220" i="7" s="1"/>
  <c r="U220" i="7" s="1"/>
  <c r="AM220" i="7"/>
  <c r="AG220" i="7" s="1"/>
  <c r="T220" i="7" s="1"/>
  <c r="AJ220" i="7"/>
  <c r="W220" i="7" s="1"/>
  <c r="C220" i="7"/>
  <c r="A220" i="7"/>
  <c r="G220" i="7" s="1"/>
  <c r="AP219" i="7"/>
  <c r="AJ219" i="7" s="1"/>
  <c r="W219" i="7" s="1"/>
  <c r="AO219" i="7"/>
  <c r="AI219" i="7" s="1"/>
  <c r="V219" i="7" s="1"/>
  <c r="AN219" i="7"/>
  <c r="AM219" i="7"/>
  <c r="AG219" i="7" s="1"/>
  <c r="T219" i="7" s="1"/>
  <c r="AH219" i="7"/>
  <c r="U219" i="7" s="1"/>
  <c r="E219" i="7"/>
  <c r="AP218" i="7"/>
  <c r="AJ218" i="7" s="1"/>
  <c r="W218" i="7" s="1"/>
  <c r="AO218" i="7"/>
  <c r="AN218" i="7"/>
  <c r="AH218" i="7" s="1"/>
  <c r="U218" i="7" s="1"/>
  <c r="AM218" i="7"/>
  <c r="AG218" i="7" s="1"/>
  <c r="T218" i="7" s="1"/>
  <c r="AI218" i="7"/>
  <c r="V218" i="7" s="1"/>
  <c r="AP217" i="7"/>
  <c r="AJ217" i="7" s="1"/>
  <c r="W217" i="7" s="1"/>
  <c r="AO217" i="7"/>
  <c r="AI217" i="7" s="1"/>
  <c r="V217" i="7" s="1"/>
  <c r="AN217" i="7"/>
  <c r="AM217" i="7"/>
  <c r="AG217" i="7" s="1"/>
  <c r="T217" i="7" s="1"/>
  <c r="AH217" i="7"/>
  <c r="U217" i="7" s="1"/>
  <c r="P217" i="7"/>
  <c r="N217" i="7" s="1"/>
  <c r="M217" i="7" s="1"/>
  <c r="P216" i="7"/>
  <c r="N216" i="7" s="1"/>
  <c r="M216" i="7" s="1"/>
  <c r="P215" i="7"/>
  <c r="N215" i="7" s="1"/>
  <c r="M215" i="7" s="1"/>
  <c r="C215" i="7"/>
  <c r="M214" i="7"/>
  <c r="C214" i="7"/>
  <c r="AP213" i="7"/>
  <c r="AO213" i="7"/>
  <c r="AI213" i="7" s="1"/>
  <c r="V213" i="7" s="1"/>
  <c r="AN213" i="7"/>
  <c r="AM213" i="7"/>
  <c r="AG213" i="7" s="1"/>
  <c r="T213" i="7" s="1"/>
  <c r="AJ213" i="7"/>
  <c r="W213" i="7" s="1"/>
  <c r="AH213" i="7"/>
  <c r="U213" i="7" s="1"/>
  <c r="M213" i="7"/>
  <c r="C213" i="7"/>
  <c r="AP212" i="7"/>
  <c r="AO212" i="7"/>
  <c r="AI212" i="7" s="1"/>
  <c r="V212" i="7" s="1"/>
  <c r="AN212" i="7"/>
  <c r="AH212" i="7" s="1"/>
  <c r="U212" i="7" s="1"/>
  <c r="AM212" i="7"/>
  <c r="AJ212" i="7"/>
  <c r="W212" i="7" s="1"/>
  <c r="AG212" i="7"/>
  <c r="T212" i="7" s="1"/>
  <c r="P212" i="7"/>
  <c r="N212" i="7" s="1"/>
  <c r="M212" i="7" s="1"/>
  <c r="C212" i="7"/>
  <c r="AP211" i="7"/>
  <c r="AO211" i="7"/>
  <c r="AN211" i="7"/>
  <c r="AH211" i="7" s="1"/>
  <c r="U211" i="7" s="1"/>
  <c r="AM211" i="7"/>
  <c r="AJ211" i="7"/>
  <c r="W211" i="7" s="1"/>
  <c r="AI211" i="7"/>
  <c r="V211" i="7" s="1"/>
  <c r="AG211" i="7"/>
  <c r="T211" i="7" s="1"/>
  <c r="P211" i="7"/>
  <c r="N211" i="7" s="1"/>
  <c r="M211" i="7" s="1"/>
  <c r="C211" i="7"/>
  <c r="C210" i="7"/>
  <c r="P209" i="7"/>
  <c r="N209" i="7" s="1"/>
  <c r="M209" i="7" s="1"/>
  <c r="C209" i="7"/>
  <c r="C208" i="7"/>
  <c r="AP207" i="7"/>
  <c r="AO207" i="7"/>
  <c r="AI207" i="7" s="1"/>
  <c r="V207" i="7" s="1"/>
  <c r="AN207" i="7"/>
  <c r="AM207" i="7"/>
  <c r="AJ207" i="7"/>
  <c r="W207" i="7" s="1"/>
  <c r="AH207" i="7"/>
  <c r="U207" i="7" s="1"/>
  <c r="AG207" i="7"/>
  <c r="T207" i="7" s="1"/>
  <c r="C207" i="7"/>
  <c r="AP206" i="7"/>
  <c r="AO206" i="7"/>
  <c r="AN206" i="7"/>
  <c r="AH206" i="7" s="1"/>
  <c r="U206" i="7" s="1"/>
  <c r="AM206" i="7"/>
  <c r="AG206" i="7" s="1"/>
  <c r="T206" i="7" s="1"/>
  <c r="AJ206" i="7"/>
  <c r="W206" i="7" s="1"/>
  <c r="AI206" i="7"/>
  <c r="V206" i="7" s="1"/>
  <c r="C206" i="7"/>
  <c r="A206" i="7"/>
  <c r="A207" i="7" s="1"/>
  <c r="AP205" i="7"/>
  <c r="AO205" i="7"/>
  <c r="AN205" i="7"/>
  <c r="AH205" i="7" s="1"/>
  <c r="U205" i="7" s="1"/>
  <c r="AM205" i="7"/>
  <c r="AJ205" i="7"/>
  <c r="W205" i="7" s="1"/>
  <c r="AI205" i="7"/>
  <c r="V205" i="7" s="1"/>
  <c r="AG205" i="7"/>
  <c r="T205" i="7" s="1"/>
  <c r="E205" i="7"/>
  <c r="AP204" i="7"/>
  <c r="AO204" i="7"/>
  <c r="AI204" i="7" s="1"/>
  <c r="V204" i="7" s="1"/>
  <c r="AN204" i="7"/>
  <c r="AM204" i="7"/>
  <c r="AG204" i="7" s="1"/>
  <c r="T204" i="7" s="1"/>
  <c r="AJ204" i="7"/>
  <c r="W204" i="7" s="1"/>
  <c r="AH204" i="7"/>
  <c r="U204" i="7" s="1"/>
  <c r="P203" i="7"/>
  <c r="N203" i="7" s="1"/>
  <c r="M203" i="7" s="1"/>
  <c r="AP202" i="7"/>
  <c r="AP203" i="7" s="1"/>
  <c r="AJ203" i="7" s="1"/>
  <c r="W203" i="7" s="1"/>
  <c r="AO202" i="7"/>
  <c r="AI202" i="7" s="1"/>
  <c r="V202" i="7" s="1"/>
  <c r="AN202" i="7"/>
  <c r="AN203" i="7" s="1"/>
  <c r="AH203" i="7" s="1"/>
  <c r="U203" i="7" s="1"/>
  <c r="AM202" i="7"/>
  <c r="AM203" i="7" s="1"/>
  <c r="AG203" i="7" s="1"/>
  <c r="T203" i="7" s="1"/>
  <c r="P202" i="7"/>
  <c r="N202" i="7" s="1"/>
  <c r="M202" i="7" s="1"/>
  <c r="AP201" i="7"/>
  <c r="AO201" i="7"/>
  <c r="AN201" i="7"/>
  <c r="AH201" i="7" s="1"/>
  <c r="U201" i="7" s="1"/>
  <c r="AM201" i="7"/>
  <c r="AJ201" i="7"/>
  <c r="W201" i="7" s="1"/>
  <c r="AI201" i="7"/>
  <c r="V201" i="7" s="1"/>
  <c r="AG201" i="7"/>
  <c r="T201" i="7" s="1"/>
  <c r="P201" i="7"/>
  <c r="N201" i="7" s="1"/>
  <c r="M201" i="7" s="1"/>
  <c r="C201" i="7"/>
  <c r="M200" i="7"/>
  <c r="C200" i="7"/>
  <c r="AP199" i="7"/>
  <c r="AP200" i="7" s="1"/>
  <c r="AJ200" i="7" s="1"/>
  <c r="W200" i="7" s="1"/>
  <c r="AO199" i="7"/>
  <c r="AO200" i="7" s="1"/>
  <c r="AI200" i="7" s="1"/>
  <c r="V200" i="7" s="1"/>
  <c r="AN199" i="7"/>
  <c r="AN200" i="7" s="1"/>
  <c r="AH200" i="7" s="1"/>
  <c r="U200" i="7" s="1"/>
  <c r="AM199" i="7"/>
  <c r="AM200" i="7" s="1"/>
  <c r="AG200" i="7" s="1"/>
  <c r="T200" i="7" s="1"/>
  <c r="AH199" i="7"/>
  <c r="U199" i="7" s="1"/>
  <c r="M199" i="7"/>
  <c r="C199" i="7"/>
  <c r="AP198" i="7"/>
  <c r="AJ198" i="7" s="1"/>
  <c r="W198" i="7" s="1"/>
  <c r="AO198" i="7"/>
  <c r="AI198" i="7" s="1"/>
  <c r="V198" i="7" s="1"/>
  <c r="AN198" i="7"/>
  <c r="AM198" i="7"/>
  <c r="AG198" i="7" s="1"/>
  <c r="T198" i="7" s="1"/>
  <c r="AH198" i="7"/>
  <c r="U198" i="7" s="1"/>
  <c r="P198" i="7"/>
  <c r="N198" i="7" s="1"/>
  <c r="M198" i="7" s="1"/>
  <c r="C198" i="7"/>
  <c r="AP197" i="7"/>
  <c r="AJ197" i="7" s="1"/>
  <c r="W197" i="7" s="1"/>
  <c r="AO197" i="7"/>
  <c r="AN197" i="7"/>
  <c r="AH197" i="7" s="1"/>
  <c r="U197" i="7" s="1"/>
  <c r="AM197" i="7"/>
  <c r="AI197" i="7"/>
  <c r="V197" i="7" s="1"/>
  <c r="AG197" i="7"/>
  <c r="T197" i="7" s="1"/>
  <c r="P197" i="7"/>
  <c r="N197" i="7" s="1"/>
  <c r="M197" i="7" s="1"/>
  <c r="C197" i="7"/>
  <c r="A195" i="7"/>
  <c r="A196" i="7" s="1"/>
  <c r="G196" i="7" s="1"/>
  <c r="E194" i="7"/>
  <c r="P192" i="7"/>
  <c r="N192" i="7" s="1"/>
  <c r="M192" i="7" s="1"/>
  <c r="E192" i="7"/>
  <c r="P191" i="7"/>
  <c r="N191" i="7" s="1"/>
  <c r="M191" i="7" s="1"/>
  <c r="E191" i="7"/>
  <c r="P190" i="7"/>
  <c r="N190" i="7" s="1"/>
  <c r="M190" i="7" s="1"/>
  <c r="E190" i="7"/>
  <c r="P189" i="7"/>
  <c r="N189" i="7" s="1"/>
  <c r="M189" i="7" s="1"/>
  <c r="E189" i="7"/>
  <c r="P188" i="7"/>
  <c r="N188" i="7" s="1"/>
  <c r="M188" i="7" s="1"/>
  <c r="E188" i="7"/>
  <c r="P187" i="7"/>
  <c r="N187" i="7" s="1"/>
  <c r="M187" i="7" s="1"/>
  <c r="E187" i="7"/>
  <c r="P186" i="7"/>
  <c r="N186" i="7" s="1"/>
  <c r="M186" i="7" s="1"/>
  <c r="E186" i="7"/>
  <c r="P185" i="7"/>
  <c r="N185" i="7" s="1"/>
  <c r="M185" i="7" s="1"/>
  <c r="E185" i="7"/>
  <c r="P184" i="7"/>
  <c r="N184" i="7" s="1"/>
  <c r="M184" i="7" s="1"/>
  <c r="E184" i="7"/>
  <c r="P183" i="7"/>
  <c r="N183" i="7" s="1"/>
  <c r="M183" i="7" s="1"/>
  <c r="E183" i="7"/>
  <c r="P182" i="7"/>
  <c r="N182" i="7" s="1"/>
  <c r="M182" i="7" s="1"/>
  <c r="E182" i="7"/>
  <c r="N181" i="7"/>
  <c r="M181" i="7" s="1"/>
  <c r="E181" i="7"/>
  <c r="P180" i="7"/>
  <c r="N180" i="7" s="1"/>
  <c r="M180" i="7" s="1"/>
  <c r="E180" i="7"/>
  <c r="P179" i="7"/>
  <c r="N179" i="7" s="1"/>
  <c r="M179" i="7" s="1"/>
  <c r="E179" i="7"/>
  <c r="P178" i="7"/>
  <c r="N178" i="7" s="1"/>
  <c r="M178" i="7" s="1"/>
  <c r="E178" i="7"/>
  <c r="AJ177" i="7"/>
  <c r="AD177" i="7" s="1"/>
  <c r="X177" i="7" s="1"/>
  <c r="AI177" i="7"/>
  <c r="AH177" i="7"/>
  <c r="AB177" i="7" s="1"/>
  <c r="V177" i="7" s="1"/>
  <c r="AG177" i="7"/>
  <c r="AA177" i="7" s="1"/>
  <c r="U177" i="7" s="1"/>
  <c r="AC177" i="7"/>
  <c r="W177" i="7" s="1"/>
  <c r="P177" i="7"/>
  <c r="N177" i="7" s="1"/>
  <c r="M177" i="7" s="1"/>
  <c r="E177" i="7"/>
  <c r="AJ176" i="7"/>
  <c r="AD176" i="7" s="1"/>
  <c r="X176" i="7" s="1"/>
  <c r="AI176" i="7"/>
  <c r="AH176" i="7"/>
  <c r="AG176" i="7"/>
  <c r="AA176" i="7" s="1"/>
  <c r="U176" i="7" s="1"/>
  <c r="AC176" i="7"/>
  <c r="W176" i="7" s="1"/>
  <c r="AB176" i="7"/>
  <c r="V176" i="7" s="1"/>
  <c r="P176" i="7"/>
  <c r="N176" i="7" s="1"/>
  <c r="M176" i="7" s="1"/>
  <c r="E176" i="7"/>
  <c r="AJ175" i="7"/>
  <c r="AI175" i="7"/>
  <c r="AC175" i="7" s="1"/>
  <c r="W175" i="7" s="1"/>
  <c r="AH175" i="7"/>
  <c r="AB175" i="7" s="1"/>
  <c r="V175" i="7" s="1"/>
  <c r="AG175" i="7"/>
  <c r="AD175" i="7"/>
  <c r="X175" i="7" s="1"/>
  <c r="AA175" i="7"/>
  <c r="U175" i="7" s="1"/>
  <c r="E175" i="7"/>
  <c r="P174" i="7"/>
  <c r="N174" i="7" s="1"/>
  <c r="M174" i="7" s="1"/>
  <c r="E174" i="7"/>
  <c r="E173" i="7"/>
  <c r="M172" i="7"/>
  <c r="E172" i="7"/>
  <c r="D172" i="7"/>
  <c r="E171" i="7"/>
  <c r="P170" i="7"/>
  <c r="N170" i="7" s="1"/>
  <c r="M170" i="7" s="1"/>
  <c r="E170" i="7"/>
  <c r="E169" i="7"/>
  <c r="M168" i="7"/>
  <c r="E168" i="7"/>
  <c r="D168" i="7"/>
  <c r="E167" i="7"/>
  <c r="P166" i="7"/>
  <c r="N166" i="7" s="1"/>
  <c r="M166" i="7" s="1"/>
  <c r="E166" i="7"/>
  <c r="E165" i="7"/>
  <c r="M164" i="7"/>
  <c r="E164" i="7"/>
  <c r="D164" i="7"/>
  <c r="E163" i="7"/>
  <c r="P162" i="7"/>
  <c r="N162" i="7" s="1"/>
  <c r="M162" i="7" s="1"/>
  <c r="E162" i="7"/>
  <c r="E161" i="7"/>
  <c r="P160" i="7"/>
  <c r="N160" i="7" s="1"/>
  <c r="M160" i="7" s="1"/>
  <c r="E160" i="7"/>
  <c r="E159" i="7"/>
  <c r="M158" i="7"/>
  <c r="E158" i="7"/>
  <c r="D158" i="7"/>
  <c r="E157" i="7"/>
  <c r="M156" i="7"/>
  <c r="E156" i="7"/>
  <c r="D156" i="7"/>
  <c r="E154" i="7"/>
  <c r="A153" i="7"/>
  <c r="E153" i="7" s="1"/>
  <c r="A152" i="7"/>
  <c r="E152" i="7" s="1"/>
  <c r="P150" i="7"/>
  <c r="N150" i="7" s="1"/>
  <c r="M150" i="7" s="1"/>
  <c r="G150" i="7"/>
  <c r="E150" i="7"/>
  <c r="P149" i="7"/>
  <c r="N149" i="7" s="1"/>
  <c r="M149" i="7" s="1"/>
  <c r="G149" i="7"/>
  <c r="E149" i="7"/>
  <c r="P148" i="7"/>
  <c r="N148" i="7" s="1"/>
  <c r="M148" i="7" s="1"/>
  <c r="G148" i="7"/>
  <c r="E148" i="7"/>
  <c r="P147" i="7"/>
  <c r="N147" i="7" s="1"/>
  <c r="M147" i="7" s="1"/>
  <c r="G147" i="7"/>
  <c r="E147" i="7"/>
  <c r="P146" i="7"/>
  <c r="N146" i="7" s="1"/>
  <c r="M146" i="7" s="1"/>
  <c r="G146" i="7"/>
  <c r="E146" i="7"/>
  <c r="P145" i="7"/>
  <c r="N145" i="7" s="1"/>
  <c r="M145" i="7" s="1"/>
  <c r="G145" i="7"/>
  <c r="E145" i="7"/>
  <c r="P144" i="7"/>
  <c r="N144" i="7" s="1"/>
  <c r="M144" i="7" s="1"/>
  <c r="G144" i="7"/>
  <c r="E144" i="7"/>
  <c r="P143" i="7"/>
  <c r="N143" i="7" s="1"/>
  <c r="M143" i="7" s="1"/>
  <c r="G143" i="7"/>
  <c r="E143" i="7"/>
  <c r="P142" i="7"/>
  <c r="N142" i="7" s="1"/>
  <c r="M142" i="7" s="1"/>
  <c r="G142" i="7"/>
  <c r="E142" i="7"/>
  <c r="P141" i="7"/>
  <c r="N141" i="7" s="1"/>
  <c r="M141" i="7" s="1"/>
  <c r="G141" i="7"/>
  <c r="E141" i="7"/>
  <c r="P140" i="7"/>
  <c r="N140" i="7"/>
  <c r="M140" i="7" s="1"/>
  <c r="G140" i="7"/>
  <c r="E140" i="7"/>
  <c r="G139" i="7"/>
  <c r="E139" i="7"/>
  <c r="P138" i="7"/>
  <c r="N138" i="7" s="1"/>
  <c r="M138" i="7" s="1"/>
  <c r="G138" i="7"/>
  <c r="E138" i="7"/>
  <c r="N137" i="7"/>
  <c r="M137" i="7" s="1"/>
  <c r="G137" i="7"/>
  <c r="N136" i="7"/>
  <c r="M136" i="7" s="1"/>
  <c r="G136" i="7"/>
  <c r="N135" i="7"/>
  <c r="M135" i="7" s="1"/>
  <c r="G135" i="7"/>
  <c r="P134" i="7"/>
  <c r="N134" i="7" s="1"/>
  <c r="M134" i="7" s="1"/>
  <c r="G134" i="7"/>
  <c r="P133" i="7"/>
  <c r="N133" i="7" s="1"/>
  <c r="M133" i="7" s="1"/>
  <c r="G133" i="7"/>
  <c r="P132" i="7"/>
  <c r="N132" i="7" s="1"/>
  <c r="M132" i="7" s="1"/>
  <c r="G132" i="7"/>
  <c r="P131" i="7"/>
  <c r="N131" i="7" s="1"/>
  <c r="M131" i="7" s="1"/>
  <c r="G131" i="7"/>
  <c r="P130" i="7"/>
  <c r="N130" i="7" s="1"/>
  <c r="M130" i="7" s="1"/>
  <c r="G130" i="7"/>
  <c r="P129" i="7"/>
  <c r="N129" i="7" s="1"/>
  <c r="M129" i="7" s="1"/>
  <c r="G129" i="7"/>
  <c r="G128" i="7"/>
  <c r="G127" i="7"/>
  <c r="G126" i="7"/>
  <c r="P125" i="7"/>
  <c r="N125" i="7" s="1"/>
  <c r="M125" i="7" s="1"/>
  <c r="G125" i="7"/>
  <c r="P124" i="7"/>
  <c r="N124" i="7" s="1"/>
  <c r="M124" i="7" s="1"/>
  <c r="G124" i="7"/>
  <c r="N123" i="7"/>
  <c r="M123" i="7" s="1"/>
  <c r="G123" i="7"/>
  <c r="P122" i="7"/>
  <c r="N122" i="7" s="1"/>
  <c r="M122" i="7" s="1"/>
  <c r="G122" i="7"/>
  <c r="P121" i="7"/>
  <c r="N121" i="7" s="1"/>
  <c r="M121" i="7" s="1"/>
  <c r="G121" i="7"/>
  <c r="P120" i="7"/>
  <c r="N120" i="7" s="1"/>
  <c r="M120" i="7" s="1"/>
  <c r="G120" i="7"/>
  <c r="P119" i="7"/>
  <c r="N119" i="7" s="1"/>
  <c r="M119" i="7" s="1"/>
  <c r="G119" i="7"/>
  <c r="P118" i="7"/>
  <c r="N118" i="7" s="1"/>
  <c r="M118" i="7" s="1"/>
  <c r="G118" i="7"/>
  <c r="P117" i="7"/>
  <c r="N117" i="7" s="1"/>
  <c r="M117" i="7" s="1"/>
  <c r="G117" i="7"/>
  <c r="P116" i="7"/>
  <c r="N116" i="7" s="1"/>
  <c r="M116" i="7" s="1"/>
  <c r="G116" i="7"/>
  <c r="P115" i="7"/>
  <c r="N115" i="7" s="1"/>
  <c r="M115" i="7" s="1"/>
  <c r="G115" i="7"/>
  <c r="N114" i="7"/>
  <c r="M114" i="7" s="1"/>
  <c r="G114" i="7"/>
  <c r="P113" i="7"/>
  <c r="N113" i="7" s="1"/>
  <c r="M113" i="7" s="1"/>
  <c r="G113" i="7"/>
  <c r="P112" i="7"/>
  <c r="N112" i="7" s="1"/>
  <c r="M112" i="7" s="1"/>
  <c r="G112" i="7"/>
  <c r="P111" i="7"/>
  <c r="N111" i="7" s="1"/>
  <c r="M111" i="7" s="1"/>
  <c r="G111" i="7"/>
  <c r="P110" i="7"/>
  <c r="N110" i="7" s="1"/>
  <c r="M110" i="7" s="1"/>
  <c r="G110" i="7"/>
  <c r="P109" i="7"/>
  <c r="N109" i="7" s="1"/>
  <c r="M109" i="7" s="1"/>
  <c r="G109" i="7"/>
  <c r="P108" i="7"/>
  <c r="N108" i="7" s="1"/>
  <c r="M108" i="7" s="1"/>
  <c r="G108" i="7"/>
  <c r="P107" i="7"/>
  <c r="N107" i="7" s="1"/>
  <c r="M107" i="7" s="1"/>
  <c r="G107" i="7"/>
  <c r="P106" i="7"/>
  <c r="N106" i="7" s="1"/>
  <c r="M106" i="7" s="1"/>
  <c r="G106" i="7"/>
  <c r="P105" i="7"/>
  <c r="N105" i="7" s="1"/>
  <c r="M105" i="7" s="1"/>
  <c r="G105" i="7"/>
  <c r="G104" i="7"/>
  <c r="P103" i="7"/>
  <c r="N103" i="7" s="1"/>
  <c r="M103" i="7" s="1"/>
  <c r="G103" i="7"/>
  <c r="P102" i="7"/>
  <c r="N102" i="7" s="1"/>
  <c r="M102" i="7" s="1"/>
  <c r="G102" i="7"/>
  <c r="P101" i="7"/>
  <c r="N101" i="7" s="1"/>
  <c r="M101" i="7" s="1"/>
  <c r="G101" i="7"/>
  <c r="P100" i="7"/>
  <c r="N100" i="7" s="1"/>
  <c r="M100" i="7" s="1"/>
  <c r="G100" i="7"/>
  <c r="P99" i="7"/>
  <c r="N99" i="7" s="1"/>
  <c r="M99" i="7" s="1"/>
  <c r="G99" i="7"/>
  <c r="G98" i="7"/>
  <c r="P97" i="7"/>
  <c r="N97" i="7" s="1"/>
  <c r="M97" i="7" s="1"/>
  <c r="G97" i="7"/>
  <c r="P96" i="7"/>
  <c r="N96" i="7" s="1"/>
  <c r="M96" i="7" s="1"/>
  <c r="G96" i="7"/>
  <c r="P95" i="7"/>
  <c r="N95" i="7" s="1"/>
  <c r="M95" i="7" s="1"/>
  <c r="G95" i="7"/>
  <c r="P94" i="7"/>
  <c r="N94" i="7" s="1"/>
  <c r="M94" i="7" s="1"/>
  <c r="G94" i="7"/>
  <c r="P93" i="7"/>
  <c r="N93" i="7" s="1"/>
  <c r="M93" i="7" s="1"/>
  <c r="G93" i="7"/>
  <c r="P92" i="7"/>
  <c r="N92" i="7" s="1"/>
  <c r="M92" i="7" s="1"/>
  <c r="G92" i="7"/>
  <c r="P91" i="7"/>
  <c r="N91" i="7" s="1"/>
  <c r="M91" i="7" s="1"/>
  <c r="G91" i="7"/>
  <c r="P90" i="7"/>
  <c r="N90" i="7" s="1"/>
  <c r="M90" i="7" s="1"/>
  <c r="G90" i="7"/>
  <c r="P89" i="7"/>
  <c r="N89" i="7" s="1"/>
  <c r="M89" i="7" s="1"/>
  <c r="G89" i="7"/>
  <c r="P88" i="7"/>
  <c r="N88" i="7" s="1"/>
  <c r="M88" i="7" s="1"/>
  <c r="G88" i="7"/>
  <c r="P87" i="7"/>
  <c r="N87" i="7" s="1"/>
  <c r="M87" i="7" s="1"/>
  <c r="G87" i="7"/>
  <c r="P86" i="7"/>
  <c r="N86" i="7" s="1"/>
  <c r="M86" i="7" s="1"/>
  <c r="G86" i="7"/>
  <c r="P85" i="7"/>
  <c r="N85" i="7" s="1"/>
  <c r="M85" i="7" s="1"/>
  <c r="G85" i="7"/>
  <c r="P84" i="7"/>
  <c r="N84" i="7" s="1"/>
  <c r="M84" i="7" s="1"/>
  <c r="G84" i="7"/>
  <c r="P83" i="7"/>
  <c r="N83" i="7" s="1"/>
  <c r="M83" i="7" s="1"/>
  <c r="G83" i="7"/>
  <c r="P82" i="7"/>
  <c r="N82" i="7" s="1"/>
  <c r="M82" i="7" s="1"/>
  <c r="G82" i="7"/>
  <c r="P81" i="7"/>
  <c r="N81" i="7" s="1"/>
  <c r="M81" i="7" s="1"/>
  <c r="G81" i="7"/>
  <c r="P80" i="7"/>
  <c r="N80" i="7" s="1"/>
  <c r="M80" i="7" s="1"/>
  <c r="G80" i="7"/>
  <c r="P79" i="7"/>
  <c r="N79" i="7" s="1"/>
  <c r="M79" i="7" s="1"/>
  <c r="G79" i="7"/>
  <c r="P78" i="7"/>
  <c r="N78" i="7" s="1"/>
  <c r="M78" i="7" s="1"/>
  <c r="G78" i="7"/>
  <c r="P77" i="7"/>
  <c r="N77" i="7" s="1"/>
  <c r="M77" i="7" s="1"/>
  <c r="G77" i="7"/>
  <c r="P76" i="7"/>
  <c r="N76" i="7" s="1"/>
  <c r="M76" i="7" s="1"/>
  <c r="G76" i="7"/>
  <c r="G75" i="7"/>
  <c r="P74" i="7"/>
  <c r="N74" i="7" s="1"/>
  <c r="M74" i="7" s="1"/>
  <c r="G74" i="7"/>
  <c r="P73" i="7"/>
  <c r="N73" i="7" s="1"/>
  <c r="M73" i="7" s="1"/>
  <c r="G73" i="7"/>
  <c r="N72" i="7"/>
  <c r="M72" i="7" s="1"/>
  <c r="A72" i="7"/>
  <c r="AM2" i="7" s="1"/>
  <c r="A70" i="7" s="1"/>
  <c r="P71" i="7"/>
  <c r="N71" i="7" s="1"/>
  <c r="M71" i="7" s="1"/>
  <c r="G71" i="7"/>
  <c r="E71" i="7"/>
  <c r="C71" i="7"/>
  <c r="N69" i="7"/>
  <c r="M69" i="7" s="1"/>
  <c r="E69" i="7"/>
  <c r="N68" i="7"/>
  <c r="M68" i="7" s="1"/>
  <c r="E68" i="7"/>
  <c r="N67" i="7"/>
  <c r="M67" i="7" s="1"/>
  <c r="E67" i="7"/>
  <c r="P66" i="7"/>
  <c r="N66" i="7" s="1"/>
  <c r="M66" i="7" s="1"/>
  <c r="E66" i="7"/>
  <c r="N65" i="7"/>
  <c r="M65" i="7" s="1"/>
  <c r="E65" i="7"/>
  <c r="N64" i="7"/>
  <c r="M64" i="7" s="1"/>
  <c r="E64" i="7"/>
  <c r="N63" i="7"/>
  <c r="M63" i="7" s="1"/>
  <c r="E63" i="7"/>
  <c r="N62" i="7"/>
  <c r="M62" i="7" s="1"/>
  <c r="E62" i="7"/>
  <c r="P61" i="7"/>
  <c r="N61" i="7" s="1"/>
  <c r="M61" i="7" s="1"/>
  <c r="E61" i="7"/>
  <c r="P60" i="7"/>
  <c r="N60" i="7" s="1"/>
  <c r="M60" i="7" s="1"/>
  <c r="E60" i="7"/>
  <c r="P59" i="7"/>
  <c r="N59" i="7" s="1"/>
  <c r="M59" i="7" s="1"/>
  <c r="E59" i="7"/>
  <c r="P58" i="7"/>
  <c r="N58" i="7" s="1"/>
  <c r="M58" i="7" s="1"/>
  <c r="E58" i="7"/>
  <c r="P57" i="7"/>
  <c r="N57" i="7" s="1"/>
  <c r="M57" i="7" s="1"/>
  <c r="E57" i="7"/>
  <c r="P56" i="7"/>
  <c r="N56" i="7" s="1"/>
  <c r="M56" i="7" s="1"/>
  <c r="E56" i="7"/>
  <c r="P55" i="7"/>
  <c r="N55" i="7" s="1"/>
  <c r="M55" i="7" s="1"/>
  <c r="E55" i="7"/>
  <c r="P54" i="7"/>
  <c r="N54" i="7" s="1"/>
  <c r="M54" i="7" s="1"/>
  <c r="E54" i="7"/>
  <c r="P53" i="7"/>
  <c r="N53" i="7" s="1"/>
  <c r="M53" i="7" s="1"/>
  <c r="E53" i="7"/>
  <c r="P52" i="7"/>
  <c r="N52" i="7" s="1"/>
  <c r="M52" i="7" s="1"/>
  <c r="E52" i="7"/>
  <c r="P51" i="7"/>
  <c r="N51" i="7" s="1"/>
  <c r="M51" i="7" s="1"/>
  <c r="E51" i="7"/>
  <c r="P50" i="7"/>
  <c r="N50" i="7" s="1"/>
  <c r="M50" i="7" s="1"/>
  <c r="E50" i="7"/>
  <c r="P49" i="7"/>
  <c r="N49" i="7" s="1"/>
  <c r="M49" i="7" s="1"/>
  <c r="E49" i="7"/>
  <c r="P48" i="7"/>
  <c r="N48" i="7" s="1"/>
  <c r="M48" i="7" s="1"/>
  <c r="E48" i="7"/>
  <c r="P47" i="7"/>
  <c r="N47" i="7" s="1"/>
  <c r="M47" i="7" s="1"/>
  <c r="E47" i="7"/>
  <c r="P46" i="7"/>
  <c r="N46" i="7" s="1"/>
  <c r="M46" i="7" s="1"/>
  <c r="E46" i="7"/>
  <c r="P45" i="7"/>
  <c r="N45" i="7" s="1"/>
  <c r="M45" i="7" s="1"/>
  <c r="E45" i="7"/>
  <c r="P44" i="7"/>
  <c r="N44" i="7" s="1"/>
  <c r="M44" i="7" s="1"/>
  <c r="E44" i="7"/>
  <c r="P43" i="7"/>
  <c r="N43" i="7" s="1"/>
  <c r="M43" i="7" s="1"/>
  <c r="E43" i="7"/>
  <c r="E42" i="7"/>
  <c r="E41" i="7"/>
  <c r="E40" i="7"/>
  <c r="E39" i="7"/>
  <c r="E38" i="7"/>
  <c r="E37" i="7"/>
  <c r="E36" i="7"/>
  <c r="E35" i="7"/>
  <c r="E34" i="7"/>
  <c r="E33" i="7"/>
  <c r="E32" i="7"/>
  <c r="E31" i="7"/>
  <c r="E30" i="7"/>
  <c r="E29" i="7"/>
  <c r="E28" i="7"/>
  <c r="E27" i="7"/>
  <c r="E26" i="7"/>
  <c r="E25" i="7"/>
  <c r="E24" i="7"/>
  <c r="E23" i="7"/>
  <c r="E22" i="7"/>
  <c r="P21" i="7"/>
  <c r="N21" i="7" s="1"/>
  <c r="M21" i="7" s="1"/>
  <c r="E21" i="7"/>
  <c r="P20" i="7"/>
  <c r="N20" i="7" s="1"/>
  <c r="M20" i="7" s="1"/>
  <c r="E20" i="7"/>
  <c r="P19" i="7"/>
  <c r="N19" i="7" s="1"/>
  <c r="M19" i="7" s="1"/>
  <c r="E19" i="7"/>
  <c r="G14" i="7"/>
  <c r="F14" i="7"/>
  <c r="C12" i="7"/>
  <c r="AM11" i="7"/>
  <c r="A568" i="7" s="1"/>
  <c r="F11" i="7"/>
  <c r="AM9" i="7"/>
  <c r="A537" i="7" s="1"/>
  <c r="AM6" i="7"/>
  <c r="A397" i="7" s="1"/>
  <c r="E6" i="7"/>
  <c r="P98" i="7" s="1"/>
  <c r="N98" i="7" s="1"/>
  <c r="M98" i="7" s="1"/>
  <c r="AM4" i="7"/>
  <c r="A155" i="7" s="1"/>
  <c r="M3" i="7"/>
  <c r="AM1" i="7"/>
  <c r="A18" i="7" s="1"/>
  <c r="AJ199" i="7" l="1"/>
  <c r="W199" i="7" s="1"/>
  <c r="AJ202" i="7"/>
  <c r="W202" i="7" s="1"/>
  <c r="AG199" i="7"/>
  <c r="T199" i="7" s="1"/>
  <c r="AI199" i="7"/>
  <c r="V199" i="7" s="1"/>
  <c r="Q1030" i="1"/>
  <c r="R1029" i="1"/>
  <c r="G9" i="7"/>
  <c r="A656" i="7"/>
  <c r="A657" i="7"/>
  <c r="AH202" i="7"/>
  <c r="U202" i="7" s="1"/>
  <c r="AG202" i="7"/>
  <c r="T202" i="7" s="1"/>
  <c r="AO203" i="7"/>
  <c r="AI203" i="7" s="1"/>
  <c r="V203" i="7" s="1"/>
  <c r="AR522" i="7"/>
  <c r="AJ522" i="7" s="1"/>
  <c r="AB522" i="7" s="1"/>
  <c r="AE547" i="7"/>
  <c r="W547" i="7" s="1"/>
  <c r="AE551" i="7"/>
  <c r="W551" i="7" s="1"/>
  <c r="AQ520" i="7"/>
  <c r="AI520" i="7" s="1"/>
  <c r="AA520" i="7" s="1"/>
  <c r="AO547" i="7"/>
  <c r="AG547" i="7" s="1"/>
  <c r="Y547" i="7" s="1"/>
  <c r="AP550" i="7"/>
  <c r="AH550" i="7" s="1"/>
  <c r="Z550" i="7" s="1"/>
  <c r="A661" i="7"/>
  <c r="A652" i="7"/>
  <c r="A646" i="7"/>
  <c r="A640" i="7"/>
  <c r="AP521" i="7"/>
  <c r="AH521" i="7" s="1"/>
  <c r="Z521" i="7" s="1"/>
  <c r="AQ547" i="7"/>
  <c r="AI547" i="7" s="1"/>
  <c r="AA547" i="7" s="1"/>
  <c r="AP551" i="7"/>
  <c r="AH551" i="7" s="1"/>
  <c r="Z551" i="7" s="1"/>
  <c r="AQ550" i="7"/>
  <c r="AI550" i="7" s="1"/>
  <c r="AA550" i="7" s="1"/>
  <c r="AP548" i="7"/>
  <c r="AH548" i="7" s="1"/>
  <c r="Z548" i="7" s="1"/>
  <c r="AR553" i="7"/>
  <c r="AJ553" i="7" s="1"/>
  <c r="AB553" i="7" s="1"/>
  <c r="C196" i="7"/>
  <c r="AN520" i="7"/>
  <c r="AF520" i="7" s="1"/>
  <c r="X520" i="7" s="1"/>
  <c r="AO521" i="7"/>
  <c r="AG521" i="7" s="1"/>
  <c r="Y521" i="7" s="1"/>
  <c r="AQ548" i="7"/>
  <c r="AI548" i="7" s="1"/>
  <c r="AA548" i="7" s="1"/>
  <c r="AN553" i="7"/>
  <c r="AF553" i="7" s="1"/>
  <c r="X553" i="7" s="1"/>
  <c r="AP555" i="7"/>
  <c r="AH555" i="7" s="1"/>
  <c r="Z555" i="7" s="1"/>
  <c r="AN556" i="7"/>
  <c r="AF556" i="7" s="1"/>
  <c r="X556" i="7" s="1"/>
  <c r="AR551" i="7"/>
  <c r="AJ551" i="7" s="1"/>
  <c r="AB551" i="7" s="1"/>
  <c r="AP552" i="7"/>
  <c r="AH552" i="7" s="1"/>
  <c r="Z552" i="7" s="1"/>
  <c r="AO553" i="7"/>
  <c r="AG553" i="7" s="1"/>
  <c r="Y553" i="7" s="1"/>
  <c r="AQ555" i="7"/>
  <c r="AI555" i="7" s="1"/>
  <c r="AA555" i="7" s="1"/>
  <c r="AE556" i="7"/>
  <c r="W556" i="7" s="1"/>
  <c r="AO556" i="7"/>
  <c r="AG556" i="7" s="1"/>
  <c r="Y556" i="7" s="1"/>
  <c r="AE521" i="7"/>
  <c r="W521" i="7" s="1"/>
  <c r="AN551" i="7"/>
  <c r="AF551" i="7" s="1"/>
  <c r="X551" i="7" s="1"/>
  <c r="AE553" i="7"/>
  <c r="W553" i="7" s="1"/>
  <c r="AP553" i="7"/>
  <c r="AH553" i="7" s="1"/>
  <c r="Z553" i="7" s="1"/>
  <c r="AQ556" i="7"/>
  <c r="AI556" i="7" s="1"/>
  <c r="AA556" i="7" s="1"/>
  <c r="N636" i="7"/>
  <c r="M636" i="7" s="1"/>
  <c r="C263" i="7"/>
  <c r="AM10" i="7"/>
  <c r="A559" i="7" s="1"/>
  <c r="U4" i="7"/>
  <c r="P609" i="7"/>
  <c r="N609" i="7" s="1"/>
  <c r="M609" i="7" s="1"/>
  <c r="P611" i="7"/>
  <c r="N611" i="7" s="1"/>
  <c r="M611" i="7" s="1"/>
  <c r="N648" i="7"/>
  <c r="M648" i="7" s="1"/>
  <c r="P688" i="7"/>
  <c r="N688" i="7" s="1"/>
  <c r="M688" i="7" s="1"/>
  <c r="P690" i="7"/>
  <c r="N690" i="7" s="1"/>
  <c r="M690" i="7" s="1"/>
  <c r="P694" i="7"/>
  <c r="N694" i="7" s="1"/>
  <c r="M694" i="7" s="1"/>
  <c r="P562" i="7"/>
  <c r="N562" i="7" s="1"/>
  <c r="M562" i="7" s="1"/>
  <c r="P632" i="7"/>
  <c r="N632" i="7" s="1"/>
  <c r="M632" i="7" s="1"/>
  <c r="N658" i="7"/>
  <c r="M658" i="7" s="1"/>
  <c r="P691" i="7"/>
  <c r="N691" i="7" s="1"/>
  <c r="M691" i="7" s="1"/>
  <c r="P692" i="7"/>
  <c r="N692" i="7" s="1"/>
  <c r="M692" i="7" s="1"/>
  <c r="N647" i="7"/>
  <c r="M647" i="7" s="1"/>
  <c r="P675" i="7"/>
  <c r="N675" i="7" s="1"/>
  <c r="M675" i="7" s="1"/>
  <c r="P689" i="7"/>
  <c r="N689" i="7" s="1"/>
  <c r="M689" i="7" s="1"/>
  <c r="P693" i="7"/>
  <c r="N693" i="7" s="1"/>
  <c r="M693" i="7" s="1"/>
  <c r="A667" i="7"/>
  <c r="H16" i="7"/>
  <c r="M413" i="7"/>
  <c r="T607" i="7"/>
  <c r="U607" i="7" s="1"/>
  <c r="A643" i="7"/>
  <c r="P207" i="7"/>
  <c r="N207" i="7" s="1"/>
  <c r="M207" i="7" s="1"/>
  <c r="P298" i="7"/>
  <c r="N298" i="7" s="1"/>
  <c r="M298" i="7" s="1"/>
  <c r="P206" i="7"/>
  <c r="N206" i="7" s="1"/>
  <c r="M206" i="7" s="1"/>
  <c r="A649" i="7"/>
  <c r="C7" i="7"/>
  <c r="A633" i="7"/>
  <c r="A655" i="7"/>
  <c r="A637" i="7"/>
  <c r="A660" i="7"/>
  <c r="A638" i="7"/>
  <c r="A650" i="7"/>
  <c r="A664" i="7"/>
  <c r="A634" i="7"/>
  <c r="A644" i="7"/>
  <c r="AM12" i="7"/>
  <c r="A605" i="7" s="1"/>
  <c r="G206" i="7"/>
  <c r="F70" i="7"/>
  <c r="A232" i="7"/>
  <c r="A233" i="7" s="1"/>
  <c r="E446" i="7"/>
  <c r="D446" i="7" s="1"/>
  <c r="F537" i="7"/>
  <c r="E439" i="7"/>
  <c r="D439" i="7" s="1"/>
  <c r="M325" i="7"/>
  <c r="A264" i="7"/>
  <c r="A265" i="7" s="1"/>
  <c r="G263" i="7"/>
  <c r="P196" i="7"/>
  <c r="N196" i="7" s="1"/>
  <c r="M196" i="7" s="1"/>
  <c r="P210" i="7"/>
  <c r="N210" i="7" s="1"/>
  <c r="M210" i="7" s="1"/>
  <c r="P221" i="7"/>
  <c r="N221" i="7" s="1"/>
  <c r="M221" i="7" s="1"/>
  <c r="C232" i="7"/>
  <c r="C249" i="7"/>
  <c r="M412" i="7"/>
  <c r="P232" i="7"/>
  <c r="N232" i="7" s="1"/>
  <c r="M232" i="7" s="1"/>
  <c r="P249" i="7"/>
  <c r="N249" i="7" s="1"/>
  <c r="M249" i="7" s="1"/>
  <c r="G262" i="7"/>
  <c r="P263" i="7"/>
  <c r="N263" i="7" s="1"/>
  <c r="M263" i="7" s="1"/>
  <c r="C285" i="7"/>
  <c r="G195" i="7"/>
  <c r="C221" i="7"/>
  <c r="G443" i="7"/>
  <c r="E443" i="7" s="1"/>
  <c r="D443" i="7" s="1"/>
  <c r="AM3" i="7"/>
  <c r="A151" i="7" s="1"/>
  <c r="A197" i="7"/>
  <c r="A198" i="7" s="1"/>
  <c r="F568" i="7"/>
  <c r="F18" i="7"/>
  <c r="U2" i="7"/>
  <c r="U3" i="7"/>
  <c r="U6" i="7"/>
  <c r="I11" i="7"/>
  <c r="F151" i="7"/>
  <c r="P154" i="7"/>
  <c r="N154" i="7" s="1"/>
  <c r="M154" i="7" s="1"/>
  <c r="P598" i="7"/>
  <c r="N598" i="7" s="1"/>
  <c r="M598" i="7" s="1"/>
  <c r="P631" i="7"/>
  <c r="N631" i="7" s="1"/>
  <c r="M631" i="7" s="1"/>
  <c r="N635" i="7"/>
  <c r="M635" i="7" s="1"/>
  <c r="N642" i="7"/>
  <c r="M642" i="7" s="1"/>
  <c r="P672" i="7"/>
  <c r="N672" i="7" s="1"/>
  <c r="M672" i="7" s="1"/>
  <c r="P674" i="7"/>
  <c r="N674" i="7" s="1"/>
  <c r="M674" i="7" s="1"/>
  <c r="P681" i="7"/>
  <c r="N681" i="7" s="1"/>
  <c r="M681" i="7" s="1"/>
  <c r="P683" i="7"/>
  <c r="N683" i="7" s="1"/>
  <c r="M683" i="7" s="1"/>
  <c r="P685" i="7"/>
  <c r="N685" i="7" s="1"/>
  <c r="M685" i="7" s="1"/>
  <c r="P687" i="7"/>
  <c r="N687" i="7" s="1"/>
  <c r="M687" i="7" s="1"/>
  <c r="J1" i="7"/>
  <c r="P607" i="7"/>
  <c r="N607" i="7" s="1"/>
  <c r="M607" i="7" s="1"/>
  <c r="P630" i="7"/>
  <c r="N630" i="7" s="1"/>
  <c r="M630" i="7" s="1"/>
  <c r="N641" i="7"/>
  <c r="M641" i="7" s="1"/>
  <c r="N663" i="7"/>
  <c r="M663" i="7" s="1"/>
  <c r="N669" i="7"/>
  <c r="M669" i="7" s="1"/>
  <c r="P671" i="7"/>
  <c r="N671" i="7" s="1"/>
  <c r="M671" i="7" s="1"/>
  <c r="U5" i="7"/>
  <c r="P152" i="7"/>
  <c r="N152" i="7" s="1"/>
  <c r="M152" i="7" s="1"/>
  <c r="P153" i="7"/>
  <c r="N153" i="7" s="1"/>
  <c r="M153" i="7" s="1"/>
  <c r="P629" i="7"/>
  <c r="N629" i="7" s="1"/>
  <c r="M629" i="7" s="1"/>
  <c r="N653" i="7"/>
  <c r="M653" i="7" s="1"/>
  <c r="N654" i="7"/>
  <c r="M654" i="7" s="1"/>
  <c r="N659" i="7"/>
  <c r="M659" i="7" s="1"/>
  <c r="N662" i="7"/>
  <c r="M662" i="7" s="1"/>
  <c r="N665" i="7"/>
  <c r="M665" i="7" s="1"/>
  <c r="N666" i="7"/>
  <c r="M666" i="7" s="1"/>
  <c r="N668" i="7"/>
  <c r="M668" i="7" s="1"/>
  <c r="P682" i="7"/>
  <c r="N682" i="7" s="1"/>
  <c r="M682" i="7" s="1"/>
  <c r="P684" i="7"/>
  <c r="N684" i="7" s="1"/>
  <c r="M684" i="7" s="1"/>
  <c r="P247" i="7"/>
  <c r="N247" i="7" s="1"/>
  <c r="M247" i="7" s="1"/>
  <c r="F193" i="7"/>
  <c r="P287" i="7"/>
  <c r="N287" i="7" s="1"/>
  <c r="M287" i="7" s="1"/>
  <c r="P288" i="7"/>
  <c r="N288" i="7" s="1"/>
  <c r="M288" i="7" s="1"/>
  <c r="P208" i="7"/>
  <c r="N208" i="7" s="1"/>
  <c r="M208" i="7" s="1"/>
  <c r="P246" i="7"/>
  <c r="N246" i="7" s="1"/>
  <c r="M246" i="7" s="1"/>
  <c r="G495" i="7"/>
  <c r="H521" i="7" s="1"/>
  <c r="AR545" i="7"/>
  <c r="AJ545" i="7" s="1"/>
  <c r="AB545" i="7" s="1"/>
  <c r="AN545" i="7"/>
  <c r="AF545" i="7" s="1"/>
  <c r="X545" i="7" s="1"/>
  <c r="AP545" i="7"/>
  <c r="AH545" i="7" s="1"/>
  <c r="Z545" i="7" s="1"/>
  <c r="AO545" i="7"/>
  <c r="AG545" i="7" s="1"/>
  <c r="Y545" i="7" s="1"/>
  <c r="AE545" i="7"/>
  <c r="W545" i="7" s="1"/>
  <c r="AQ545" i="7"/>
  <c r="AI545" i="7" s="1"/>
  <c r="AA545" i="7" s="1"/>
  <c r="AR546" i="7"/>
  <c r="AJ546" i="7" s="1"/>
  <c r="AB546" i="7" s="1"/>
  <c r="AN546" i="7"/>
  <c r="AF546" i="7" s="1"/>
  <c r="X546" i="7" s="1"/>
  <c r="AQ546" i="7"/>
  <c r="AI546" i="7" s="1"/>
  <c r="AA546" i="7" s="1"/>
  <c r="AE546" i="7"/>
  <c r="W546" i="7" s="1"/>
  <c r="AP546" i="7"/>
  <c r="AH546" i="7" s="1"/>
  <c r="Z546" i="7" s="1"/>
  <c r="A246" i="7"/>
  <c r="G245" i="7"/>
  <c r="G440" i="7"/>
  <c r="E440" i="7" s="1"/>
  <c r="D440" i="7" s="1"/>
  <c r="G452" i="7"/>
  <c r="E452" i="7" s="1"/>
  <c r="D452" i="7" s="1"/>
  <c r="AO546" i="7"/>
  <c r="AG546" i="7" s="1"/>
  <c r="Y546" i="7" s="1"/>
  <c r="AR549" i="7"/>
  <c r="AJ549" i="7" s="1"/>
  <c r="AB549" i="7" s="1"/>
  <c r="AN549" i="7"/>
  <c r="AF549" i="7" s="1"/>
  <c r="X549" i="7" s="1"/>
  <c r="AP549" i="7"/>
  <c r="AH549" i="7" s="1"/>
  <c r="Z549" i="7" s="1"/>
  <c r="AO549" i="7"/>
  <c r="AG549" i="7" s="1"/>
  <c r="Y549" i="7" s="1"/>
  <c r="AE549" i="7"/>
  <c r="W549" i="7" s="1"/>
  <c r="AR557" i="7"/>
  <c r="AJ557" i="7" s="1"/>
  <c r="AB557" i="7" s="1"/>
  <c r="AN557" i="7"/>
  <c r="AF557" i="7" s="1"/>
  <c r="X557" i="7" s="1"/>
  <c r="AQ557" i="7"/>
  <c r="AI557" i="7" s="1"/>
  <c r="AA557" i="7" s="1"/>
  <c r="AE557" i="7"/>
  <c r="W557" i="7" s="1"/>
  <c r="AP557" i="7"/>
  <c r="AH557" i="7" s="1"/>
  <c r="Z557" i="7" s="1"/>
  <c r="P534" i="7"/>
  <c r="N534" i="7" s="1"/>
  <c r="M534" i="7" s="1"/>
  <c r="P75" i="7"/>
  <c r="N75" i="7" s="1"/>
  <c r="M75" i="7" s="1"/>
  <c r="P104" i="7"/>
  <c r="N104" i="7" s="1"/>
  <c r="M104" i="7" s="1"/>
  <c r="P139" i="7"/>
  <c r="N139" i="7" s="1"/>
  <c r="M139" i="7" s="1"/>
  <c r="F155" i="7"/>
  <c r="AQ549" i="7"/>
  <c r="AI549" i="7" s="1"/>
  <c r="AA549" i="7" s="1"/>
  <c r="AO557" i="7"/>
  <c r="AG557" i="7" s="1"/>
  <c r="Y557" i="7" s="1"/>
  <c r="P262" i="7"/>
  <c r="N262" i="7" s="1"/>
  <c r="M262" i="7" s="1"/>
  <c r="P231" i="7"/>
  <c r="N231" i="7" s="1"/>
  <c r="M231" i="7" s="1"/>
  <c r="P220" i="7"/>
  <c r="N220" i="7" s="1"/>
  <c r="M220" i="7" s="1"/>
  <c r="P195" i="7"/>
  <c r="N195" i="7" s="1"/>
  <c r="M195" i="7" s="1"/>
  <c r="P290" i="7"/>
  <c r="N290" i="7" s="1"/>
  <c r="M290" i="7" s="1"/>
  <c r="P289" i="7"/>
  <c r="N289" i="7" s="1"/>
  <c r="M289" i="7" s="1"/>
  <c r="P286" i="7"/>
  <c r="N286" i="7" s="1"/>
  <c r="M286" i="7" s="1"/>
  <c r="P299" i="7"/>
  <c r="N299" i="7" s="1"/>
  <c r="M299" i="7" s="1"/>
  <c r="P296" i="7"/>
  <c r="N296" i="7" s="1"/>
  <c r="M296" i="7" s="1"/>
  <c r="P295" i="7"/>
  <c r="N295" i="7" s="1"/>
  <c r="M295" i="7" s="1"/>
  <c r="A208" i="7"/>
  <c r="G207" i="7"/>
  <c r="A221" i="7"/>
  <c r="P245" i="7"/>
  <c r="N245" i="7" s="1"/>
  <c r="M245" i="7" s="1"/>
  <c r="P297" i="7"/>
  <c r="N297" i="7" s="1"/>
  <c r="M297" i="7" s="1"/>
  <c r="G438" i="7"/>
  <c r="H492" i="7" s="1"/>
  <c r="G442" i="7"/>
  <c r="E442" i="7" s="1"/>
  <c r="D442" i="7" s="1"/>
  <c r="A496" i="7"/>
  <c r="G445" i="7"/>
  <c r="E445" i="7" s="1"/>
  <c r="D445" i="7" s="1"/>
  <c r="AP522" i="7"/>
  <c r="AH522" i="7" s="1"/>
  <c r="Z522" i="7" s="1"/>
  <c r="AO522" i="7"/>
  <c r="AG522" i="7" s="1"/>
  <c r="Y522" i="7" s="1"/>
  <c r="AE522" i="7"/>
  <c r="W522" i="7" s="1"/>
  <c r="AQ522" i="7"/>
  <c r="AI522" i="7" s="1"/>
  <c r="AA522" i="7" s="1"/>
  <c r="AP554" i="7"/>
  <c r="AH554" i="7" s="1"/>
  <c r="Z554" i="7" s="1"/>
  <c r="AO554" i="7"/>
  <c r="AG554" i="7" s="1"/>
  <c r="Y554" i="7" s="1"/>
  <c r="AN554" i="7"/>
  <c r="AF554" i="7" s="1"/>
  <c r="X554" i="7" s="1"/>
  <c r="AR554" i="7"/>
  <c r="AJ554" i="7" s="1"/>
  <c r="AB554" i="7" s="1"/>
  <c r="AE554" i="7"/>
  <c r="W554" i="7" s="1"/>
  <c r="G453" i="7"/>
  <c r="E453" i="7" s="1"/>
  <c r="D453" i="7" s="1"/>
  <c r="AP520" i="7"/>
  <c r="AH520" i="7" s="1"/>
  <c r="Z520" i="7" s="1"/>
  <c r="AO520" i="7"/>
  <c r="AG520" i="7" s="1"/>
  <c r="Y520" i="7" s="1"/>
  <c r="AE520" i="7"/>
  <c r="W520" i="7" s="1"/>
  <c r="AQ521" i="7"/>
  <c r="AI521" i="7" s="1"/>
  <c r="AA521" i="7" s="1"/>
  <c r="AR548" i="7"/>
  <c r="AJ548" i="7" s="1"/>
  <c r="AB548" i="7" s="1"/>
  <c r="AN548" i="7"/>
  <c r="AF548" i="7" s="1"/>
  <c r="X548" i="7" s="1"/>
  <c r="AO552" i="7"/>
  <c r="AG552" i="7" s="1"/>
  <c r="Y552" i="7" s="1"/>
  <c r="AE552" i="7"/>
  <c r="W552" i="7" s="1"/>
  <c r="AR552" i="7"/>
  <c r="AJ552" i="7" s="1"/>
  <c r="AB552" i="7" s="1"/>
  <c r="AR555" i="7"/>
  <c r="AJ555" i="7" s="1"/>
  <c r="AB555" i="7" s="1"/>
  <c r="AN555" i="7"/>
  <c r="AF555" i="7" s="1"/>
  <c r="X555" i="7" s="1"/>
  <c r="AQ558" i="7"/>
  <c r="AI558" i="7" s="1"/>
  <c r="AA558" i="7" s="1"/>
  <c r="AP558" i="7"/>
  <c r="AH558" i="7" s="1"/>
  <c r="Z558" i="7" s="1"/>
  <c r="AO558" i="7"/>
  <c r="AG558" i="7" s="1"/>
  <c r="Y558" i="7" s="1"/>
  <c r="H488" i="7"/>
  <c r="AN521" i="7"/>
  <c r="AF521" i="7" s="1"/>
  <c r="X521" i="7" s="1"/>
  <c r="AR547" i="7"/>
  <c r="AJ547" i="7" s="1"/>
  <c r="AB547" i="7" s="1"/>
  <c r="AN547" i="7"/>
  <c r="AF547" i="7" s="1"/>
  <c r="X547" i="7" s="1"/>
  <c r="AO548" i="7"/>
  <c r="AG548" i="7" s="1"/>
  <c r="Y548" i="7" s="1"/>
  <c r="AO550" i="7"/>
  <c r="AG550" i="7" s="1"/>
  <c r="Y550" i="7" s="1"/>
  <c r="AE550" i="7"/>
  <c r="W550" i="7" s="1"/>
  <c r="AR550" i="7"/>
  <c r="AJ550" i="7" s="1"/>
  <c r="AB550" i="7" s="1"/>
  <c r="AN552" i="7"/>
  <c r="AF552" i="7" s="1"/>
  <c r="X552" i="7" s="1"/>
  <c r="AO555" i="7"/>
  <c r="AG555" i="7" s="1"/>
  <c r="Y555" i="7" s="1"/>
  <c r="AE558" i="7"/>
  <c r="W558" i="7" s="1"/>
  <c r="AN558" i="7"/>
  <c r="AF558" i="7" s="1"/>
  <c r="X558" i="7" s="1"/>
  <c r="AR556" i="7"/>
  <c r="AJ556" i="7" s="1"/>
  <c r="AB556" i="7" s="1"/>
  <c r="F559" i="7"/>
  <c r="Q1031" i="1" l="1"/>
  <c r="R1030" i="1"/>
  <c r="B421" i="7"/>
  <c r="B419" i="7"/>
  <c r="A419" i="7" s="1"/>
  <c r="B420" i="7"/>
  <c r="B665" i="7"/>
  <c r="A665" i="7" s="1"/>
  <c r="B693" i="7"/>
  <c r="B688" i="7"/>
  <c r="B642" i="7"/>
  <c r="B641" i="7"/>
  <c r="B690" i="7"/>
  <c r="B654" i="7"/>
  <c r="B653" i="7"/>
  <c r="B648" i="7"/>
  <c r="B689" i="7"/>
  <c r="B647" i="7"/>
  <c r="B668" i="7"/>
  <c r="A668" i="7" s="1"/>
  <c r="B694" i="7"/>
  <c r="B691" i="7"/>
  <c r="B662" i="7"/>
  <c r="B692" i="7"/>
  <c r="B663" i="7"/>
  <c r="Z8" i="7"/>
  <c r="B14" i="7" s="1"/>
  <c r="G232" i="7"/>
  <c r="G197" i="7"/>
  <c r="G264" i="7"/>
  <c r="B669" i="7"/>
  <c r="A669" i="7" s="1"/>
  <c r="H518" i="7"/>
  <c r="H519" i="7"/>
  <c r="E684" i="7"/>
  <c r="B666" i="7"/>
  <c r="A666" i="7" s="1"/>
  <c r="D606" i="7"/>
  <c r="C606" i="7"/>
  <c r="M606" i="7"/>
  <c r="E606" i="7" s="1"/>
  <c r="F605" i="7" s="1"/>
  <c r="P308" i="7"/>
  <c r="P309" i="7" s="1"/>
  <c r="N309" i="7" s="1"/>
  <c r="M309" i="7" s="1"/>
  <c r="P314" i="7"/>
  <c r="N314" i="7" s="1"/>
  <c r="M314" i="7" s="1"/>
  <c r="E685" i="7"/>
  <c r="E682" i="7"/>
  <c r="B635" i="7"/>
  <c r="A635" i="7" s="1"/>
  <c r="E635" i="7" s="1"/>
  <c r="E683" i="7"/>
  <c r="E681" i="7"/>
  <c r="B636" i="7"/>
  <c r="A636" i="7" s="1"/>
  <c r="E636" i="7" s="1"/>
  <c r="A234" i="7"/>
  <c r="A235" i="7" s="1"/>
  <c r="G233" i="7"/>
  <c r="E495" i="7"/>
  <c r="D495" i="7" s="1"/>
  <c r="H491" i="7"/>
  <c r="H489" i="7"/>
  <c r="E438" i="7"/>
  <c r="D438" i="7" s="1"/>
  <c r="H490" i="7"/>
  <c r="H522" i="7"/>
  <c r="H520" i="7"/>
  <c r="G496" i="7"/>
  <c r="E496" i="7" s="1"/>
  <c r="D496" i="7" s="1"/>
  <c r="A497" i="7"/>
  <c r="G221" i="7"/>
  <c r="A222" i="7"/>
  <c r="A199" i="7"/>
  <c r="G198" i="7"/>
  <c r="G246" i="7"/>
  <c r="A247" i="7"/>
  <c r="G208" i="7"/>
  <c r="A209" i="7"/>
  <c r="A266" i="7"/>
  <c r="G265" i="7"/>
  <c r="D52" i="3"/>
  <c r="A79" i="3" s="1"/>
  <c r="J907" i="1"/>
  <c r="J900" i="1"/>
  <c r="J899" i="1"/>
  <c r="F956" i="1" s="1"/>
  <c r="J897" i="1"/>
  <c r="J896" i="1"/>
  <c r="J874" i="1"/>
  <c r="J867" i="1"/>
  <c r="J866" i="1"/>
  <c r="F955" i="1" s="1"/>
  <c r="J864" i="1"/>
  <c r="J863" i="1"/>
  <c r="J841" i="1"/>
  <c r="J834" i="1"/>
  <c r="J833" i="1"/>
  <c r="F954" i="1" s="1"/>
  <c r="J831" i="1"/>
  <c r="J830" i="1"/>
  <c r="J808" i="1"/>
  <c r="J801" i="1"/>
  <c r="J800" i="1"/>
  <c r="F953" i="1" s="1"/>
  <c r="J798" i="1"/>
  <c r="J797" i="1"/>
  <c r="J775" i="1"/>
  <c r="J768" i="1"/>
  <c r="J767" i="1"/>
  <c r="F952" i="1" s="1"/>
  <c r="J765" i="1"/>
  <c r="J764" i="1"/>
  <c r="J742" i="1"/>
  <c r="J735" i="1"/>
  <c r="J734" i="1"/>
  <c r="F951" i="1" s="1"/>
  <c r="J732" i="1"/>
  <c r="J731" i="1"/>
  <c r="J709" i="1"/>
  <c r="J702" i="1"/>
  <c r="J701" i="1"/>
  <c r="F950" i="1" s="1"/>
  <c r="J699" i="1"/>
  <c r="J698" i="1"/>
  <c r="J676" i="1"/>
  <c r="J669" i="1"/>
  <c r="J668" i="1"/>
  <c r="F949" i="1" s="1"/>
  <c r="J666" i="1"/>
  <c r="J665" i="1"/>
  <c r="J643" i="1"/>
  <c r="J636" i="1"/>
  <c r="J635" i="1"/>
  <c r="F948" i="1" s="1"/>
  <c r="J633" i="1"/>
  <c r="J632" i="1"/>
  <c r="J610" i="1"/>
  <c r="J603" i="1"/>
  <c r="J602" i="1"/>
  <c r="F947" i="1" s="1"/>
  <c r="J600" i="1"/>
  <c r="J599" i="1"/>
  <c r="J577" i="1"/>
  <c r="J570" i="1"/>
  <c r="J569" i="1"/>
  <c r="F946" i="1" s="1"/>
  <c r="J567" i="1"/>
  <c r="J566" i="1"/>
  <c r="J544" i="1"/>
  <c r="J537" i="1"/>
  <c r="J536" i="1"/>
  <c r="F945" i="1" s="1"/>
  <c r="J534" i="1"/>
  <c r="J533" i="1"/>
  <c r="J511" i="1"/>
  <c r="J504" i="1"/>
  <c r="J503" i="1"/>
  <c r="F944" i="1" s="1"/>
  <c r="J501" i="1"/>
  <c r="J500" i="1"/>
  <c r="J478" i="1"/>
  <c r="J471" i="1"/>
  <c r="J470" i="1"/>
  <c r="F943" i="1" s="1"/>
  <c r="J468" i="1"/>
  <c r="J467" i="1"/>
  <c r="J445" i="1"/>
  <c r="J438" i="1"/>
  <c r="J437" i="1"/>
  <c r="F942" i="1" s="1"/>
  <c r="J435" i="1"/>
  <c r="J434" i="1"/>
  <c r="J412" i="1"/>
  <c r="J405" i="1"/>
  <c r="J404" i="1"/>
  <c r="F941" i="1" s="1"/>
  <c r="J402" i="1"/>
  <c r="J401" i="1"/>
  <c r="J379" i="1"/>
  <c r="J372" i="1"/>
  <c r="J371" i="1"/>
  <c r="F940" i="1" s="1"/>
  <c r="J369" i="1"/>
  <c r="J368" i="1"/>
  <c r="J346" i="1"/>
  <c r="J339" i="1"/>
  <c r="J338" i="1"/>
  <c r="F939" i="1" s="1"/>
  <c r="J336" i="1"/>
  <c r="J335" i="1"/>
  <c r="J313" i="1"/>
  <c r="J306" i="1"/>
  <c r="J305" i="1"/>
  <c r="F938" i="1" s="1"/>
  <c r="J303" i="1"/>
  <c r="J302" i="1"/>
  <c r="J280" i="1"/>
  <c r="J273" i="1"/>
  <c r="J272" i="1"/>
  <c r="F937" i="1" s="1"/>
  <c r="J270" i="1"/>
  <c r="J269" i="1"/>
  <c r="J247" i="1"/>
  <c r="J240" i="1"/>
  <c r="J239" i="1"/>
  <c r="F936" i="1" s="1"/>
  <c r="J237" i="1"/>
  <c r="J236" i="1"/>
  <c r="J214" i="1"/>
  <c r="J207" i="1"/>
  <c r="J206" i="1"/>
  <c r="F935" i="1" s="1"/>
  <c r="J204" i="1"/>
  <c r="J203" i="1"/>
  <c r="J181" i="1"/>
  <c r="J174" i="1"/>
  <c r="J173" i="1"/>
  <c r="F934" i="1" s="1"/>
  <c r="J171" i="1"/>
  <c r="J170" i="1"/>
  <c r="J148" i="1"/>
  <c r="J141" i="1"/>
  <c r="J140" i="1"/>
  <c r="F933" i="1" s="1"/>
  <c r="J138" i="1"/>
  <c r="J137" i="1"/>
  <c r="J115" i="1"/>
  <c r="J108" i="1"/>
  <c r="J107" i="1"/>
  <c r="F932" i="1" s="1"/>
  <c r="J105" i="1"/>
  <c r="J104" i="1"/>
  <c r="J82" i="1"/>
  <c r="J75" i="1"/>
  <c r="J74" i="1"/>
  <c r="F931" i="1" s="1"/>
  <c r="J72" i="1"/>
  <c r="J71" i="1"/>
  <c r="J49" i="1"/>
  <c r="J42" i="1"/>
  <c r="J41" i="1"/>
  <c r="F930" i="1" s="1"/>
  <c r="J39" i="1"/>
  <c r="J38" i="1"/>
  <c r="J6" i="1"/>
  <c r="J16" i="1"/>
  <c r="J9" i="1"/>
  <c r="J8" i="1"/>
  <c r="F929" i="1" s="1"/>
  <c r="G12" i="6"/>
  <c r="H10" i="6"/>
  <c r="F10" i="6"/>
  <c r="Q56" i="6"/>
  <c r="G69" i="3"/>
  <c r="G85" i="3" s="1"/>
  <c r="G87" i="3" s="1"/>
  <c r="Q1032" i="1" l="1"/>
  <c r="R1031" i="1"/>
  <c r="N652" i="7"/>
  <c r="M652" i="7" s="1"/>
  <c r="E652" i="7" s="1"/>
  <c r="N664" i="7"/>
  <c r="M664" i="7" s="1"/>
  <c r="E664" i="7" s="1"/>
  <c r="A662" i="7"/>
  <c r="A663" i="7"/>
  <c r="N646" i="7"/>
  <c r="M646" i="7" s="1"/>
  <c r="E646" i="7" s="1"/>
  <c r="N640" i="7"/>
  <c r="M640" i="7" s="1"/>
  <c r="E640" i="7" s="1"/>
  <c r="A421" i="7"/>
  <c r="E421" i="7" s="1"/>
  <c r="A420" i="7"/>
  <c r="E420" i="7" s="1"/>
  <c r="N633" i="7"/>
  <c r="M633" i="7" s="1"/>
  <c r="E633" i="7" s="1"/>
  <c r="N634" i="7"/>
  <c r="M634" i="7" s="1"/>
  <c r="E634" i="7" s="1"/>
  <c r="A653" i="7"/>
  <c r="A654" i="7"/>
  <c r="J902" i="1"/>
  <c r="A642" i="7"/>
  <c r="A689" i="7"/>
  <c r="E689" i="7" s="1"/>
  <c r="N308" i="7"/>
  <c r="M308" i="7" s="1"/>
  <c r="E668" i="7"/>
  <c r="A694" i="7"/>
  <c r="E694" i="7" s="1"/>
  <c r="C14" i="7"/>
  <c r="A693" i="7"/>
  <c r="E693" i="7" s="1"/>
  <c r="A692" i="7"/>
  <c r="E692" i="7" s="1"/>
  <c r="A691" i="7"/>
  <c r="E691" i="7" s="1"/>
  <c r="A648" i="7"/>
  <c r="A647" i="7"/>
  <c r="G234" i="7"/>
  <c r="A641" i="7"/>
  <c r="P651" i="7"/>
  <c r="N651" i="7" s="1"/>
  <c r="M651" i="7" s="1"/>
  <c r="E651" i="7" s="1"/>
  <c r="N644" i="7"/>
  <c r="M644" i="7" s="1"/>
  <c r="E644" i="7" s="1"/>
  <c r="N637" i="7"/>
  <c r="M637" i="7" s="1"/>
  <c r="E637" i="7" s="1"/>
  <c r="N650" i="7"/>
  <c r="M650" i="7" s="1"/>
  <c r="E650" i="7" s="1"/>
  <c r="P670" i="7"/>
  <c r="N670" i="7" s="1"/>
  <c r="M670" i="7" s="1"/>
  <c r="E670" i="7" s="1"/>
  <c r="N649" i="7"/>
  <c r="M649" i="7" s="1"/>
  <c r="E649" i="7" s="1"/>
  <c r="P639" i="7"/>
  <c r="N639" i="7" s="1"/>
  <c r="M639" i="7" s="1"/>
  <c r="E639" i="7" s="1"/>
  <c r="N667" i="7"/>
  <c r="M667" i="7" s="1"/>
  <c r="E667" i="7" s="1"/>
  <c r="N655" i="7"/>
  <c r="M655" i="7" s="1"/>
  <c r="N638" i="7"/>
  <c r="M638" i="7" s="1"/>
  <c r="E638" i="7" s="1"/>
  <c r="P673" i="7"/>
  <c r="N673" i="7" s="1"/>
  <c r="M673" i="7" s="1"/>
  <c r="E673" i="7" s="1"/>
  <c r="N660" i="7"/>
  <c r="M660" i="7" s="1"/>
  <c r="M661" i="7" s="1"/>
  <c r="E661" i="7" s="1"/>
  <c r="N643" i="7"/>
  <c r="M643" i="7" s="1"/>
  <c r="E643" i="7" s="1"/>
  <c r="N656" i="7"/>
  <c r="M656" i="7" s="1"/>
  <c r="E656" i="7" s="1"/>
  <c r="P645" i="7"/>
  <c r="N645" i="7" s="1"/>
  <c r="M645" i="7" s="1"/>
  <c r="E645" i="7" s="1"/>
  <c r="A498" i="7"/>
  <c r="G497" i="7"/>
  <c r="E497" i="7" s="1"/>
  <c r="A236" i="7"/>
  <c r="G235" i="7"/>
  <c r="A223" i="7"/>
  <c r="G222" i="7"/>
  <c r="A210" i="7"/>
  <c r="G209" i="7"/>
  <c r="G266" i="7"/>
  <c r="A267" i="7"/>
  <c r="A248" i="7"/>
  <c r="G247" i="7"/>
  <c r="A200" i="7"/>
  <c r="G199" i="7"/>
  <c r="A81" i="3"/>
  <c r="Q1033" i="1" l="1"/>
  <c r="R1032" i="1"/>
  <c r="M657" i="7"/>
  <c r="E657" i="7" s="1"/>
  <c r="B659" i="7"/>
  <c r="A659" i="7" s="1"/>
  <c r="E659" i="7" s="1"/>
  <c r="B658" i="7"/>
  <c r="A658" i="7" s="1"/>
  <c r="E658" i="7" s="1"/>
  <c r="E660" i="7"/>
  <c r="E655" i="7"/>
  <c r="A690" i="7"/>
  <c r="E690" i="7" s="1"/>
  <c r="A688" i="7"/>
  <c r="E688" i="7" s="1"/>
  <c r="E669" i="7"/>
  <c r="E642" i="7"/>
  <c r="E654" i="7"/>
  <c r="E648" i="7"/>
  <c r="E46" i="3"/>
  <c r="E647" i="7"/>
  <c r="E663" i="7"/>
  <c r="E662" i="7"/>
  <c r="E665" i="7"/>
  <c r="E641" i="7"/>
  <c r="E653" i="7"/>
  <c r="E666" i="7"/>
  <c r="D497" i="7"/>
  <c r="G267" i="7"/>
  <c r="A268" i="7"/>
  <c r="G200" i="7"/>
  <c r="A201" i="7"/>
  <c r="G223" i="7"/>
  <c r="A224" i="7"/>
  <c r="A499" i="7"/>
  <c r="G498" i="7"/>
  <c r="E498" i="7" s="1"/>
  <c r="D498" i="7" s="1"/>
  <c r="G248" i="7"/>
  <c r="A249" i="7"/>
  <c r="A211" i="7"/>
  <c r="G210" i="7"/>
  <c r="A237" i="7"/>
  <c r="G236" i="7"/>
  <c r="I22" i="6"/>
  <c r="I20" i="6"/>
  <c r="I18" i="6"/>
  <c r="H36" i="6" s="1"/>
  <c r="D26" i="6"/>
  <c r="D22" i="6"/>
  <c r="D20" i="6"/>
  <c r="D18" i="6"/>
  <c r="Q1034" i="1" l="1"/>
  <c r="R1033" i="1"/>
  <c r="AM13" i="7"/>
  <c r="A628" i="7" s="1"/>
  <c r="T38" i="6"/>
  <c r="T39" i="6"/>
  <c r="A238" i="7"/>
  <c r="G237" i="7"/>
  <c r="A202" i="7"/>
  <c r="G201" i="7"/>
  <c r="A250" i="7"/>
  <c r="G249" i="7"/>
  <c r="G499" i="7"/>
  <c r="E499" i="7" s="1"/>
  <c r="D499" i="7" s="1"/>
  <c r="A500" i="7"/>
  <c r="G224" i="7"/>
  <c r="A225" i="7"/>
  <c r="A212" i="7"/>
  <c r="G211" i="7"/>
  <c r="G268" i="7"/>
  <c r="A269" i="7"/>
  <c r="T40" i="6"/>
  <c r="H6" i="6"/>
  <c r="B12" i="6"/>
  <c r="B10" i="6"/>
  <c r="U16" i="3"/>
  <c r="M6" i="3"/>
  <c r="A902" i="1"/>
  <c r="J908" i="1" s="1"/>
  <c r="A901" i="1"/>
  <c r="J898" i="1" s="1"/>
  <c r="A869" i="1"/>
  <c r="J875" i="1" s="1"/>
  <c r="A868" i="1"/>
  <c r="J865" i="1" s="1"/>
  <c r="A836" i="1"/>
  <c r="J842" i="1" s="1"/>
  <c r="A835" i="1"/>
  <c r="J832" i="1" s="1"/>
  <c r="A803" i="1"/>
  <c r="J809" i="1" s="1"/>
  <c r="A802" i="1"/>
  <c r="J799" i="1" s="1"/>
  <c r="A770" i="1"/>
  <c r="J776" i="1" s="1"/>
  <c r="A769" i="1"/>
  <c r="J766" i="1" s="1"/>
  <c r="A737" i="1"/>
  <c r="J743" i="1" s="1"/>
  <c r="A736" i="1"/>
  <c r="J733" i="1" s="1"/>
  <c r="A704" i="1"/>
  <c r="J710" i="1" s="1"/>
  <c r="A703" i="1"/>
  <c r="J700" i="1" s="1"/>
  <c r="A671" i="1"/>
  <c r="J677" i="1" s="1"/>
  <c r="A670" i="1"/>
  <c r="J667" i="1" s="1"/>
  <c r="A638" i="1"/>
  <c r="J644" i="1" s="1"/>
  <c r="A637" i="1"/>
  <c r="J634" i="1" s="1"/>
  <c r="A605" i="1"/>
  <c r="J611" i="1" s="1"/>
  <c r="A604" i="1"/>
  <c r="J601" i="1" s="1"/>
  <c r="A572" i="1"/>
  <c r="J578" i="1" s="1"/>
  <c r="A571" i="1"/>
  <c r="J568" i="1" s="1"/>
  <c r="A539" i="1"/>
  <c r="J545" i="1" s="1"/>
  <c r="A538" i="1"/>
  <c r="J535" i="1" s="1"/>
  <c r="A506" i="1"/>
  <c r="J512" i="1" s="1"/>
  <c r="A505" i="1"/>
  <c r="J502" i="1" s="1"/>
  <c r="A473" i="1"/>
  <c r="J479" i="1" s="1"/>
  <c r="A472" i="1"/>
  <c r="J469" i="1" s="1"/>
  <c r="A440" i="1"/>
  <c r="J446" i="1" s="1"/>
  <c r="A439" i="1"/>
  <c r="J436" i="1" s="1"/>
  <c r="A407" i="1"/>
  <c r="J413" i="1" s="1"/>
  <c r="A406" i="1"/>
  <c r="J403" i="1" s="1"/>
  <c r="A374" i="1"/>
  <c r="J380" i="1" s="1"/>
  <c r="A373" i="1"/>
  <c r="J370" i="1" s="1"/>
  <c r="A341" i="1"/>
  <c r="J347" i="1" s="1"/>
  <c r="A340" i="1"/>
  <c r="J337" i="1" s="1"/>
  <c r="A308" i="1"/>
  <c r="J314" i="1" s="1"/>
  <c r="A307" i="1"/>
  <c r="J304" i="1" s="1"/>
  <c r="A275" i="1"/>
  <c r="J281" i="1" s="1"/>
  <c r="A274" i="1"/>
  <c r="J271" i="1" s="1"/>
  <c r="A242" i="1"/>
  <c r="J248" i="1" s="1"/>
  <c r="A241" i="1"/>
  <c r="J238" i="1" s="1"/>
  <c r="A209" i="1"/>
  <c r="J215" i="1" s="1"/>
  <c r="A208" i="1"/>
  <c r="J205" i="1" s="1"/>
  <c r="A176" i="1"/>
  <c r="J182" i="1" s="1"/>
  <c r="A175" i="1"/>
  <c r="J172" i="1" s="1"/>
  <c r="A143" i="1"/>
  <c r="J149" i="1" s="1"/>
  <c r="A142" i="1"/>
  <c r="J139" i="1" s="1"/>
  <c r="A110" i="1"/>
  <c r="J116" i="1" s="1"/>
  <c r="A109" i="1"/>
  <c r="J106" i="1" s="1"/>
  <c r="A77" i="1"/>
  <c r="J83" i="1" s="1"/>
  <c r="A76" i="1"/>
  <c r="J73" i="1" s="1"/>
  <c r="A44" i="1"/>
  <c r="J50" i="1" s="1"/>
  <c r="A43" i="1"/>
  <c r="J40" i="1" s="1"/>
  <c r="A11" i="1"/>
  <c r="J17" i="1" s="1"/>
  <c r="A10" i="1"/>
  <c r="J7" i="1" s="1"/>
  <c r="J10" i="1"/>
  <c r="J5" i="1"/>
  <c r="M5" i="3"/>
  <c r="R1034" i="1" l="1"/>
  <c r="Q1035" i="1"/>
  <c r="AM7" i="7"/>
  <c r="A411" i="7" s="1"/>
  <c r="E419" i="7"/>
  <c r="F411" i="7" s="1"/>
  <c r="G202" i="7"/>
  <c r="A203" i="7"/>
  <c r="A501" i="7"/>
  <c r="AM8" i="7" s="1"/>
  <c r="A436" i="7" s="1"/>
  <c r="G500" i="7"/>
  <c r="E500" i="7" s="1"/>
  <c r="G212" i="7"/>
  <c r="A213" i="7"/>
  <c r="G225" i="7"/>
  <c r="A226" i="7"/>
  <c r="G269" i="7"/>
  <c r="A270" i="7"/>
  <c r="A251" i="7"/>
  <c r="G250" i="7"/>
  <c r="A239" i="7"/>
  <c r="G238" i="7"/>
  <c r="B914" i="1"/>
  <c r="B122" i="1"/>
  <c r="B386" i="1"/>
  <c r="B155" i="1"/>
  <c r="B419" i="1"/>
  <c r="B683" i="1"/>
  <c r="E682" i="1" s="1"/>
  <c r="B89" i="1"/>
  <c r="B221" i="1"/>
  <c r="B353" i="1"/>
  <c r="B485" i="1"/>
  <c r="B617" i="1"/>
  <c r="B749" i="1"/>
  <c r="B881" i="1"/>
  <c r="B650" i="1"/>
  <c r="J11" i="1"/>
  <c r="J13" i="1" s="1"/>
  <c r="A14" i="1" s="1"/>
  <c r="B23" i="1"/>
  <c r="B782" i="1"/>
  <c r="B518" i="1"/>
  <c r="B254" i="1"/>
  <c r="B815" i="1"/>
  <c r="B551" i="1"/>
  <c r="B287" i="1"/>
  <c r="E287" i="1" s="1"/>
  <c r="B56" i="1"/>
  <c r="B188" i="1"/>
  <c r="B320" i="1"/>
  <c r="E319" i="1" s="1"/>
  <c r="B452" i="1"/>
  <c r="B584" i="1"/>
  <c r="B716" i="1"/>
  <c r="B848" i="1"/>
  <c r="J44" i="1"/>
  <c r="J43" i="1"/>
  <c r="J77" i="1"/>
  <c r="J76" i="1"/>
  <c r="J110" i="1"/>
  <c r="J109" i="1"/>
  <c r="J143" i="1"/>
  <c r="J142" i="1"/>
  <c r="J176" i="1"/>
  <c r="J175" i="1"/>
  <c r="J209" i="1"/>
  <c r="J208" i="1"/>
  <c r="J242" i="1"/>
  <c r="J241" i="1"/>
  <c r="J275" i="1"/>
  <c r="J274" i="1"/>
  <c r="J308" i="1"/>
  <c r="J307" i="1"/>
  <c r="J341" i="1"/>
  <c r="J340" i="1"/>
  <c r="J374" i="1"/>
  <c r="J373" i="1"/>
  <c r="J407" i="1"/>
  <c r="J406" i="1"/>
  <c r="J440" i="1"/>
  <c r="J439" i="1"/>
  <c r="J473" i="1"/>
  <c r="J472" i="1"/>
  <c r="J506" i="1"/>
  <c r="J505" i="1"/>
  <c r="J539" i="1"/>
  <c r="J538" i="1"/>
  <c r="J572" i="1"/>
  <c r="J571" i="1"/>
  <c r="J605" i="1"/>
  <c r="J604" i="1"/>
  <c r="J638" i="1"/>
  <c r="J637" i="1"/>
  <c r="J671" i="1"/>
  <c r="J670" i="1"/>
  <c r="J704" i="1"/>
  <c r="J703" i="1"/>
  <c r="J737" i="1"/>
  <c r="J736" i="1"/>
  <c r="J770" i="1"/>
  <c r="J769" i="1"/>
  <c r="J803" i="1"/>
  <c r="J802" i="1"/>
  <c r="J836" i="1"/>
  <c r="J835" i="1"/>
  <c r="J869" i="1"/>
  <c r="J868" i="1"/>
  <c r="J901" i="1"/>
  <c r="R1035" i="1" l="1"/>
  <c r="Q1036" i="1"/>
  <c r="D290" i="1"/>
  <c r="F1029" i="1"/>
  <c r="H58" i="3"/>
  <c r="D500" i="7"/>
  <c r="A240" i="7"/>
  <c r="G239" i="7"/>
  <c r="G501" i="7"/>
  <c r="E501" i="7" s="1"/>
  <c r="G270" i="7"/>
  <c r="A271" i="7"/>
  <c r="A227" i="7"/>
  <c r="G226" i="7"/>
  <c r="G203" i="7"/>
  <c r="G213" i="7"/>
  <c r="A214" i="7"/>
  <c r="A252" i="7"/>
  <c r="G251" i="7"/>
  <c r="E715" i="1"/>
  <c r="E716" i="1"/>
  <c r="E518" i="1"/>
  <c r="E748" i="1"/>
  <c r="E749" i="1"/>
  <c r="E155" i="1"/>
  <c r="E584" i="1"/>
  <c r="E55" i="1"/>
  <c r="E56" i="1"/>
  <c r="E551" i="1"/>
  <c r="E782" i="1"/>
  <c r="E617" i="1"/>
  <c r="E88" i="1"/>
  <c r="E89" i="1"/>
  <c r="E914" i="1"/>
  <c r="E188" i="1"/>
  <c r="E23" i="1"/>
  <c r="E221" i="1"/>
  <c r="E451" i="1"/>
  <c r="E452" i="1"/>
  <c r="E815" i="1"/>
  <c r="E650" i="1"/>
  <c r="E485" i="1"/>
  <c r="E386" i="1"/>
  <c r="E848" i="1"/>
  <c r="E320" i="1"/>
  <c r="E254" i="1"/>
  <c r="E880" i="1"/>
  <c r="E881" i="1"/>
  <c r="E353" i="1"/>
  <c r="E419" i="1"/>
  <c r="E122" i="1"/>
  <c r="E683" i="1"/>
  <c r="E913" i="1"/>
  <c r="E352" i="1"/>
  <c r="E484" i="1"/>
  <c r="E385" i="1"/>
  <c r="E121" i="1"/>
  <c r="E418" i="1"/>
  <c r="E616" i="1"/>
  <c r="E154" i="1"/>
  <c r="E649" i="1"/>
  <c r="E220" i="1"/>
  <c r="E583" i="1"/>
  <c r="E253" i="1"/>
  <c r="E847" i="1"/>
  <c r="E814" i="1"/>
  <c r="J19" i="1"/>
  <c r="A15" i="1" s="1"/>
  <c r="I929" i="1" s="1"/>
  <c r="E781" i="1"/>
  <c r="E187" i="1"/>
  <c r="E286" i="1"/>
  <c r="E517" i="1"/>
  <c r="E550" i="1"/>
  <c r="E22" i="1"/>
  <c r="J904" i="1"/>
  <c r="A905" i="1" s="1"/>
  <c r="J910" i="1"/>
  <c r="A906" i="1" s="1"/>
  <c r="J871" i="1"/>
  <c r="A872" i="1" s="1"/>
  <c r="J877" i="1"/>
  <c r="A873" i="1" s="1"/>
  <c r="J838" i="1"/>
  <c r="A839" i="1" s="1"/>
  <c r="J844" i="1"/>
  <c r="A840" i="1" s="1"/>
  <c r="J805" i="1"/>
  <c r="A806" i="1" s="1"/>
  <c r="J811" i="1"/>
  <c r="A807" i="1" s="1"/>
  <c r="J772" i="1"/>
  <c r="A773" i="1" s="1"/>
  <c r="J778" i="1"/>
  <c r="A774" i="1" s="1"/>
  <c r="J739" i="1"/>
  <c r="A740" i="1" s="1"/>
  <c r="J745" i="1"/>
  <c r="A741" i="1" s="1"/>
  <c r="J706" i="1"/>
  <c r="A707" i="1" s="1"/>
  <c r="J712" i="1"/>
  <c r="A708" i="1" s="1"/>
  <c r="J673" i="1"/>
  <c r="A674" i="1" s="1"/>
  <c r="J679" i="1"/>
  <c r="A675" i="1" s="1"/>
  <c r="J640" i="1"/>
  <c r="A641" i="1" s="1"/>
  <c r="J646" i="1"/>
  <c r="A642" i="1" s="1"/>
  <c r="J607" i="1"/>
  <c r="A608" i="1" s="1"/>
  <c r="J613" i="1"/>
  <c r="A609" i="1" s="1"/>
  <c r="J574" i="1"/>
  <c r="A575" i="1" s="1"/>
  <c r="J580" i="1"/>
  <c r="A576" i="1" s="1"/>
  <c r="J541" i="1"/>
  <c r="A542" i="1" s="1"/>
  <c r="J547" i="1"/>
  <c r="A543" i="1" s="1"/>
  <c r="J508" i="1"/>
  <c r="A509" i="1" s="1"/>
  <c r="J514" i="1"/>
  <c r="A510" i="1" s="1"/>
  <c r="J475" i="1"/>
  <c r="A476" i="1" s="1"/>
  <c r="J481" i="1"/>
  <c r="A477" i="1" s="1"/>
  <c r="J442" i="1"/>
  <c r="A443" i="1" s="1"/>
  <c r="J448" i="1"/>
  <c r="A444" i="1" s="1"/>
  <c r="J409" i="1"/>
  <c r="A410" i="1" s="1"/>
  <c r="J415" i="1"/>
  <c r="A411" i="1" s="1"/>
  <c r="J376" i="1"/>
  <c r="A377" i="1" s="1"/>
  <c r="J382" i="1"/>
  <c r="A378" i="1" s="1"/>
  <c r="J343" i="1"/>
  <c r="A344" i="1" s="1"/>
  <c r="J349" i="1"/>
  <c r="A345" i="1" s="1"/>
  <c r="J310" i="1"/>
  <c r="A311" i="1" s="1"/>
  <c r="J316" i="1"/>
  <c r="A312" i="1" s="1"/>
  <c r="J277" i="1"/>
  <c r="A278" i="1" s="1"/>
  <c r="J283" i="1"/>
  <c r="A279" i="1" s="1"/>
  <c r="J244" i="1"/>
  <c r="A245" i="1" s="1"/>
  <c r="J250" i="1"/>
  <c r="A246" i="1" s="1"/>
  <c r="J211" i="1"/>
  <c r="A212" i="1" s="1"/>
  <c r="J217" i="1"/>
  <c r="A213" i="1" s="1"/>
  <c r="J178" i="1"/>
  <c r="A179" i="1" s="1"/>
  <c r="J184" i="1"/>
  <c r="A180" i="1" s="1"/>
  <c r="J145" i="1"/>
  <c r="A146" i="1" s="1"/>
  <c r="J151" i="1"/>
  <c r="A147" i="1" s="1"/>
  <c r="J112" i="1"/>
  <c r="A113" i="1" s="1"/>
  <c r="J118" i="1"/>
  <c r="A114" i="1" s="1"/>
  <c r="J79" i="1"/>
  <c r="A80" i="1" s="1"/>
  <c r="J85" i="1"/>
  <c r="A81" i="1" s="1"/>
  <c r="J46" i="1"/>
  <c r="A47" i="1" s="1"/>
  <c r="J52" i="1"/>
  <c r="A48" i="1" s="1"/>
  <c r="Q1037" i="1" l="1"/>
  <c r="R1036" i="1"/>
  <c r="D971" i="1"/>
  <c r="D962" i="1"/>
  <c r="D967" i="1"/>
  <c r="D969" i="1"/>
  <c r="D970" i="1"/>
  <c r="D972" i="1"/>
  <c r="D973" i="1"/>
  <c r="D965" i="1"/>
  <c r="D288" i="1"/>
  <c r="E1029" i="1"/>
  <c r="D816" i="1"/>
  <c r="E1045" i="1"/>
  <c r="D222" i="1"/>
  <c r="E1027" i="1"/>
  <c r="D618" i="1"/>
  <c r="E1039" i="1"/>
  <c r="D486" i="1"/>
  <c r="E1035" i="1"/>
  <c r="D125" i="1"/>
  <c r="F1024" i="1"/>
  <c r="D882" i="1"/>
  <c r="E1047" i="1"/>
  <c r="D851" i="1"/>
  <c r="F1046" i="1"/>
  <c r="D818" i="1"/>
  <c r="F1045" i="1"/>
  <c r="D26" i="1"/>
  <c r="F1021" i="1"/>
  <c r="D90" i="1"/>
  <c r="E1023" i="1"/>
  <c r="D59" i="1"/>
  <c r="F1022" i="1"/>
  <c r="D752" i="1"/>
  <c r="F1043" i="1"/>
  <c r="D717" i="1"/>
  <c r="E1042" i="1"/>
  <c r="D24" i="1"/>
  <c r="E1021" i="1"/>
  <c r="D189" i="1"/>
  <c r="E1026" i="1"/>
  <c r="D849" i="1"/>
  <c r="E1046" i="1"/>
  <c r="D651" i="1"/>
  <c r="E1040" i="1"/>
  <c r="D420" i="1"/>
  <c r="E1033" i="1"/>
  <c r="D354" i="1"/>
  <c r="E1031" i="1"/>
  <c r="D422" i="1"/>
  <c r="F1033" i="1"/>
  <c r="D257" i="1"/>
  <c r="F1028" i="1"/>
  <c r="D389" i="1"/>
  <c r="F1032" i="1"/>
  <c r="D455" i="1"/>
  <c r="F1034" i="1"/>
  <c r="D191" i="1"/>
  <c r="F1026" i="1"/>
  <c r="D620" i="1"/>
  <c r="F1039" i="1"/>
  <c r="D57" i="1"/>
  <c r="E1022" i="1"/>
  <c r="D750" i="1"/>
  <c r="E1043" i="1"/>
  <c r="D552" i="1"/>
  <c r="E1037" i="1"/>
  <c r="D783" i="1"/>
  <c r="E1044" i="1"/>
  <c r="D255" i="1"/>
  <c r="E1028" i="1"/>
  <c r="D684" i="1"/>
  <c r="E1041" i="1"/>
  <c r="D123" i="1"/>
  <c r="E1024" i="1"/>
  <c r="D915" i="1"/>
  <c r="E1048" i="1"/>
  <c r="D356" i="1"/>
  <c r="F1031" i="1"/>
  <c r="D323" i="1"/>
  <c r="F1030" i="1"/>
  <c r="D488" i="1"/>
  <c r="F1035" i="1"/>
  <c r="D453" i="1"/>
  <c r="E1034" i="1"/>
  <c r="D917" i="1"/>
  <c r="F1048" i="1"/>
  <c r="D785" i="1"/>
  <c r="F1044" i="1"/>
  <c r="D587" i="1"/>
  <c r="F1038" i="1"/>
  <c r="D521" i="1"/>
  <c r="F1036" i="1"/>
  <c r="D519" i="1"/>
  <c r="E1036" i="1"/>
  <c r="D585" i="1"/>
  <c r="E1038" i="1"/>
  <c r="D156" i="1"/>
  <c r="E1025" i="1"/>
  <c r="D387" i="1"/>
  <c r="E1032" i="1"/>
  <c r="D686" i="1"/>
  <c r="F1041" i="1"/>
  <c r="D884" i="1"/>
  <c r="F1047" i="1"/>
  <c r="D321" i="1"/>
  <c r="E1030" i="1"/>
  <c r="D653" i="1"/>
  <c r="F1040" i="1"/>
  <c r="D224" i="1"/>
  <c r="F1027" i="1"/>
  <c r="D92" i="1"/>
  <c r="F1023" i="1"/>
  <c r="D554" i="1"/>
  <c r="F1037" i="1"/>
  <c r="D158" i="1"/>
  <c r="F1025" i="1"/>
  <c r="D719" i="1"/>
  <c r="F1042" i="1"/>
  <c r="D975" i="1"/>
  <c r="D964" i="1"/>
  <c r="D966" i="1"/>
  <c r="D968" i="1"/>
  <c r="D963" i="1"/>
  <c r="D980" i="1"/>
  <c r="D981" i="1"/>
  <c r="D974" i="1"/>
  <c r="D977" i="1"/>
  <c r="D978" i="1"/>
  <c r="D979" i="1"/>
  <c r="D976" i="1"/>
  <c r="G271" i="7"/>
  <c r="A272" i="7"/>
  <c r="A253" i="7"/>
  <c r="G252" i="7"/>
  <c r="A241" i="7"/>
  <c r="G240" i="7"/>
  <c r="G214" i="7"/>
  <c r="A215" i="7"/>
  <c r="D501" i="7"/>
  <c r="F436" i="7"/>
  <c r="A228" i="7"/>
  <c r="G228" i="7" s="1"/>
  <c r="G227" i="7"/>
  <c r="D929" i="1"/>
  <c r="I930" i="1"/>
  <c r="D930" i="1"/>
  <c r="I931" i="1"/>
  <c r="D931" i="1"/>
  <c r="D932" i="1"/>
  <c r="I932" i="1"/>
  <c r="D934" i="1"/>
  <c r="I933" i="1"/>
  <c r="D935" i="1"/>
  <c r="I934" i="1"/>
  <c r="D938" i="1"/>
  <c r="I935" i="1"/>
  <c r="D939" i="1"/>
  <c r="I936" i="1"/>
  <c r="D942" i="1"/>
  <c r="I937" i="1"/>
  <c r="D943" i="1"/>
  <c r="I938" i="1"/>
  <c r="D946" i="1"/>
  <c r="I939" i="1"/>
  <c r="D947" i="1"/>
  <c r="I940" i="1"/>
  <c r="D949" i="1"/>
  <c r="I941" i="1"/>
  <c r="D950" i="1"/>
  <c r="I942" i="1"/>
  <c r="D951" i="1"/>
  <c r="I943" i="1"/>
  <c r="D952" i="1"/>
  <c r="I944" i="1"/>
  <c r="D933" i="1"/>
  <c r="D936" i="1"/>
  <c r="D937" i="1"/>
  <c r="D940" i="1"/>
  <c r="D941" i="1"/>
  <c r="D944" i="1"/>
  <c r="D945" i="1"/>
  <c r="D948" i="1"/>
  <c r="D953" i="1"/>
  <c r="D954" i="1"/>
  <c r="D955" i="1"/>
  <c r="D956" i="1"/>
  <c r="E966" i="1" l="1"/>
  <c r="E981" i="1"/>
  <c r="E968" i="1"/>
  <c r="O91" i="3" s="1"/>
  <c r="E972" i="1"/>
  <c r="O95" i="3" s="1"/>
  <c r="E962" i="1"/>
  <c r="O85" i="3" s="1"/>
  <c r="E963" i="1"/>
  <c r="O86" i="3" s="1"/>
  <c r="E975" i="1"/>
  <c r="O98" i="3" s="1"/>
  <c r="E970" i="1"/>
  <c r="O93" i="3" s="1"/>
  <c r="E971" i="1"/>
  <c r="O94" i="3" s="1"/>
  <c r="E980" i="1"/>
  <c r="E964" i="1"/>
  <c r="O87" i="3" s="1"/>
  <c r="E965" i="1"/>
  <c r="O88" i="3" s="1"/>
  <c r="E969" i="1"/>
  <c r="O92" i="3" s="1"/>
  <c r="E967" i="1"/>
  <c r="O90" i="3" s="1"/>
  <c r="E933" i="1"/>
  <c r="N89" i="3" s="1"/>
  <c r="E934" i="1"/>
  <c r="N90" i="3" s="1"/>
  <c r="E935" i="1"/>
  <c r="N91" i="3" s="1"/>
  <c r="E929" i="1"/>
  <c r="N85" i="3" s="1"/>
  <c r="J929" i="1"/>
  <c r="E937" i="1"/>
  <c r="N93" i="3" s="1"/>
  <c r="E943" i="1"/>
  <c r="N99" i="3" s="1"/>
  <c r="E942" i="1"/>
  <c r="N98" i="3" s="1"/>
  <c r="J934" i="1"/>
  <c r="Q1038" i="1"/>
  <c r="R1037" i="1"/>
  <c r="E936" i="1"/>
  <c r="N92" i="3" s="1"/>
  <c r="J933" i="1"/>
  <c r="E931" i="1"/>
  <c r="N87" i="3" s="1"/>
  <c r="E945" i="1"/>
  <c r="N101" i="3" s="1"/>
  <c r="C83" i="3"/>
  <c r="C85" i="3"/>
  <c r="E955" i="1"/>
  <c r="N111" i="3" s="1"/>
  <c r="J937" i="1"/>
  <c r="E941" i="1"/>
  <c r="N97" i="3" s="1"/>
  <c r="E938" i="1"/>
  <c r="N94" i="3" s="1"/>
  <c r="J935" i="1"/>
  <c r="J938" i="1"/>
  <c r="E974" i="1"/>
  <c r="O97" i="3" s="1"/>
  <c r="J943" i="1"/>
  <c r="J941" i="1"/>
  <c r="E953" i="1"/>
  <c r="N109" i="3" s="1"/>
  <c r="E951" i="1"/>
  <c r="N107" i="3" s="1"/>
  <c r="E949" i="1"/>
  <c r="N105" i="3" s="1"/>
  <c r="E948" i="1"/>
  <c r="N104" i="3" s="1"/>
  <c r="E940" i="1"/>
  <c r="N96" i="3" s="1"/>
  <c r="J944" i="1"/>
  <c r="J940" i="1"/>
  <c r="J936" i="1"/>
  <c r="J932" i="1"/>
  <c r="E930" i="1"/>
  <c r="N86" i="3" s="1"/>
  <c r="E979" i="1"/>
  <c r="O102" i="3" s="1"/>
  <c r="O89" i="3"/>
  <c r="E973" i="1"/>
  <c r="O96" i="3" s="1"/>
  <c r="E952" i="1"/>
  <c r="N108" i="3" s="1"/>
  <c r="E950" i="1"/>
  <c r="N106" i="3" s="1"/>
  <c r="E947" i="1"/>
  <c r="N103" i="3" s="1"/>
  <c r="E939" i="1"/>
  <c r="N95" i="3" s="1"/>
  <c r="E932" i="1"/>
  <c r="N88" i="3" s="1"/>
  <c r="J930" i="1"/>
  <c r="E978" i="1"/>
  <c r="O101" i="3" s="1"/>
  <c r="E954" i="1"/>
  <c r="N110" i="3" s="1"/>
  <c r="E944" i="1"/>
  <c r="N100" i="3" s="1"/>
  <c r="J939" i="1"/>
  <c r="E946" i="1"/>
  <c r="N102" i="3" s="1"/>
  <c r="J942" i="1"/>
  <c r="E977" i="1"/>
  <c r="O100" i="3" s="1"/>
  <c r="E976" i="1"/>
  <c r="O99" i="3" s="1"/>
  <c r="G253" i="7"/>
  <c r="A254" i="7"/>
  <c r="A273" i="7"/>
  <c r="G273" i="7" s="1"/>
  <c r="G272" i="7"/>
  <c r="A216" i="7"/>
  <c r="G215" i="7"/>
  <c r="A242" i="7"/>
  <c r="G242" i="7" s="1"/>
  <c r="G241" i="7"/>
  <c r="J931" i="1"/>
  <c r="E956" i="1"/>
  <c r="N112" i="3" s="1"/>
  <c r="E957" i="1"/>
  <c r="Q1039" i="1" l="1"/>
  <c r="R1038" i="1"/>
  <c r="C73" i="3"/>
  <c r="G81" i="3"/>
  <c r="C71" i="3"/>
  <c r="C75" i="3"/>
  <c r="C69" i="3"/>
  <c r="N6" i="3" s="1"/>
  <c r="C77" i="3"/>
  <c r="C79" i="3"/>
  <c r="I61" i="6" s="1"/>
  <c r="C81" i="3"/>
  <c r="G254" i="7"/>
  <c r="A255" i="7"/>
  <c r="A217" i="7"/>
  <c r="G217" i="7" s="1"/>
  <c r="G216" i="7"/>
  <c r="R1039" i="1" l="1"/>
  <c r="Q1040" i="1"/>
  <c r="U18" i="3"/>
  <c r="G30" i="3" s="1"/>
  <c r="F32" i="3" s="1"/>
  <c r="A43" i="3"/>
  <c r="I60" i="6"/>
  <c r="I62" i="6"/>
  <c r="W78" i="6" s="1"/>
  <c r="I63" i="6"/>
  <c r="G255" i="7"/>
  <c r="A256" i="7"/>
  <c r="R1040" i="1" l="1"/>
  <c r="Q1041" i="1"/>
  <c r="R1041" i="1" s="1"/>
  <c r="W75" i="6"/>
  <c r="W76" i="6" s="1"/>
  <c r="W79" i="6"/>
  <c r="G256" i="7"/>
  <c r="A257" i="7"/>
  <c r="I26" i="6"/>
  <c r="G28" i="6" s="1"/>
  <c r="Y81" i="6" l="1"/>
  <c r="I58" i="6" s="1"/>
  <c r="I59" i="6" s="1"/>
  <c r="A258" i="7"/>
  <c r="G257" i="7"/>
  <c r="A259" i="7" l="1"/>
  <c r="G258" i="7"/>
  <c r="G259" i="7" l="1"/>
  <c r="AM5" i="7"/>
  <c r="A193" i="7" s="1"/>
  <c r="G5" i="7"/>
  <c r="P676" i="7" s="1"/>
  <c r="G6" i="7"/>
  <c r="G16" i="7" s="1"/>
  <c r="E13" i="7" l="1"/>
  <c r="G3" i="7"/>
  <c r="P36" i="7" s="1"/>
  <c r="N36" i="7" s="1"/>
  <c r="M36" i="7" s="1"/>
  <c r="N676" i="7"/>
  <c r="M676" i="7" s="1"/>
  <c r="J5" i="7"/>
  <c r="I8" i="7" s="1"/>
  <c r="G4" i="7"/>
  <c r="G7" i="7" s="1"/>
  <c r="G8" i="7"/>
  <c r="J4" i="7"/>
  <c r="I6" i="7" s="1"/>
  <c r="E676" i="7" l="1"/>
  <c r="E15" i="7" s="1"/>
  <c r="F13" i="7"/>
  <c r="P32" i="7"/>
  <c r="N32" i="7" s="1"/>
  <c r="M32" i="7" s="1"/>
  <c r="P25" i="7"/>
  <c r="N25" i="7" s="1"/>
  <c r="M25" i="7" s="1"/>
  <c r="P41" i="7"/>
  <c r="N41" i="7" s="1"/>
  <c r="M41" i="7" s="1"/>
  <c r="P128" i="7"/>
  <c r="N128" i="7" s="1"/>
  <c r="M128" i="7" s="1"/>
  <c r="P23" i="7"/>
  <c r="N23" i="7" s="1"/>
  <c r="M23" i="7" s="1"/>
  <c r="P24" i="7"/>
  <c r="N24" i="7" s="1"/>
  <c r="M24" i="7" s="1"/>
  <c r="P31" i="7"/>
  <c r="N31" i="7" s="1"/>
  <c r="M31" i="7" s="1"/>
  <c r="P30" i="7"/>
  <c r="N30" i="7" s="1"/>
  <c r="M30" i="7" s="1"/>
  <c r="P127" i="7"/>
  <c r="N127" i="7" s="1"/>
  <c r="M127" i="7" s="1"/>
  <c r="AA3" i="7"/>
  <c r="P37" i="7"/>
  <c r="N37" i="7" s="1"/>
  <c r="M37" i="7" s="1"/>
  <c r="P33" i="7"/>
  <c r="N33" i="7" s="1"/>
  <c r="M33" i="7" s="1"/>
  <c r="P35" i="7"/>
  <c r="N35" i="7" s="1"/>
  <c r="M35" i="7" s="1"/>
  <c r="P40" i="7"/>
  <c r="N40" i="7" s="1"/>
  <c r="M40" i="7" s="1"/>
  <c r="P26" i="7"/>
  <c r="N26" i="7" s="1"/>
  <c r="M26" i="7" s="1"/>
  <c r="P28" i="7"/>
  <c r="N28" i="7" s="1"/>
  <c r="M28" i="7" s="1"/>
  <c r="P39" i="7"/>
  <c r="N39" i="7" s="1"/>
  <c r="M39" i="7" s="1"/>
  <c r="P34" i="7"/>
  <c r="N34" i="7" s="1"/>
  <c r="M34" i="7" s="1"/>
  <c r="AA2" i="7"/>
  <c r="P29" i="7"/>
  <c r="N29" i="7" s="1"/>
  <c r="M29" i="7" s="1"/>
  <c r="P27" i="7"/>
  <c r="N27" i="7" s="1"/>
  <c r="M27" i="7" s="1"/>
  <c r="P42" i="7"/>
  <c r="N42" i="7" s="1"/>
  <c r="M42" i="7" s="1"/>
  <c r="P22" i="7"/>
  <c r="N22" i="7" s="1"/>
  <c r="M22" i="7" s="1"/>
  <c r="P126" i="7"/>
  <c r="N126" i="7" s="1"/>
  <c r="M126" i="7" s="1"/>
  <c r="P38" i="7"/>
  <c r="N38" i="7" s="1"/>
  <c r="M38" i="7" s="1"/>
  <c r="F628" i="7" l="1"/>
  <c r="E16" i="7"/>
  <c r="AA4" i="7"/>
  <c r="E12" i="7" s="1"/>
  <c r="H54" i="3" l="1"/>
  <c r="H5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McConnell</author>
  </authors>
  <commentList>
    <comment ref="D20" authorId="0" shapeId="0" xr:uid="{00000000-0006-0000-0000-000001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Nick McConnell</author>
  </authors>
  <commentList>
    <comment ref="I37" authorId="0" shapeId="0" xr:uid="{00000000-0006-0000-0100-000001000000}">
      <text>
        <r>
          <rPr>
            <b/>
            <sz val="9"/>
            <color indexed="81"/>
            <rFont val="Tahoma"/>
            <family val="2"/>
          </rPr>
          <t>Recommended Top Overtravel when the overhead is not critical or when all factors are unknown, 0-100 FPM use 6", 101-200 FPM use 9"
Code minimum Top Overtravel 0-100 FPM use 3", 101-200 FPM use 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mfreeman</author>
  </authors>
  <commentList>
    <comment ref="B27" authorId="0" shapeId="0" xr:uid="{00000000-0006-0000-0200-000001000000}">
      <text>
        <r>
          <rPr>
            <b/>
            <sz val="8"/>
            <color indexed="81"/>
            <rFont val="Tahoma"/>
            <family val="2"/>
          </rPr>
          <t>Override if Heavy Wall Jack is used.  See chart for weight.</t>
        </r>
        <r>
          <rPr>
            <sz val="8"/>
            <color indexed="81"/>
            <rFont val="Tahoma"/>
            <family val="2"/>
          </rPr>
          <t xml:space="preserve">
</t>
        </r>
      </text>
    </comment>
    <comment ref="B60" authorId="0" shapeId="0" xr:uid="{00000000-0006-0000-0200-000002000000}">
      <text>
        <r>
          <rPr>
            <b/>
            <sz val="8"/>
            <color indexed="81"/>
            <rFont val="Tahoma"/>
            <family val="2"/>
          </rPr>
          <t>Override if Heavy Wall Jack is used.  See chart for weight.</t>
        </r>
        <r>
          <rPr>
            <sz val="8"/>
            <color indexed="81"/>
            <rFont val="Tahoma"/>
            <family val="2"/>
          </rPr>
          <t xml:space="preserve">
</t>
        </r>
      </text>
    </comment>
    <comment ref="B93" authorId="0" shapeId="0" xr:uid="{F36EB964-64F4-47F8-A162-EB8DC0A50E52}">
      <text>
        <r>
          <rPr>
            <b/>
            <sz val="8"/>
            <color indexed="81"/>
            <rFont val="Tahoma"/>
            <family val="2"/>
          </rPr>
          <t>Override if Heavy Wall Jack is used.  See chart for weight.</t>
        </r>
        <r>
          <rPr>
            <sz val="8"/>
            <color indexed="81"/>
            <rFont val="Tahoma"/>
            <family val="2"/>
          </rPr>
          <t xml:space="preserve">
</t>
        </r>
      </text>
    </comment>
    <comment ref="B126" authorId="0" shapeId="0" xr:uid="{AD2D9EA9-B60C-45BC-98B5-8CA37E0BAFD4}">
      <text>
        <r>
          <rPr>
            <b/>
            <sz val="8"/>
            <color indexed="81"/>
            <rFont val="Tahoma"/>
            <family val="2"/>
          </rPr>
          <t>Override if Heavy Wall Jack is used.  See chart for weight.</t>
        </r>
        <r>
          <rPr>
            <sz val="8"/>
            <color indexed="81"/>
            <rFont val="Tahoma"/>
            <family val="2"/>
          </rPr>
          <t xml:space="preserve">
</t>
        </r>
      </text>
    </comment>
    <comment ref="B159" authorId="0" shapeId="0" xr:uid="{CCFAF8C0-83FE-44B0-A14B-6EE0EF4F5BA8}">
      <text>
        <r>
          <rPr>
            <b/>
            <sz val="8"/>
            <color indexed="81"/>
            <rFont val="Tahoma"/>
            <family val="2"/>
          </rPr>
          <t>Override if Heavy Wall Jack is used.  See chart for weight.</t>
        </r>
        <r>
          <rPr>
            <sz val="8"/>
            <color indexed="81"/>
            <rFont val="Tahoma"/>
            <family val="2"/>
          </rPr>
          <t xml:space="preserve">
</t>
        </r>
      </text>
    </comment>
    <comment ref="B192" authorId="0" shapeId="0" xr:uid="{9EB5B3BC-9F31-4B29-BC78-C939A8711539}">
      <text>
        <r>
          <rPr>
            <b/>
            <sz val="8"/>
            <color indexed="81"/>
            <rFont val="Tahoma"/>
            <family val="2"/>
          </rPr>
          <t>Override if Heavy Wall Jack is used.  See chart for weight.</t>
        </r>
        <r>
          <rPr>
            <sz val="8"/>
            <color indexed="81"/>
            <rFont val="Tahoma"/>
            <family val="2"/>
          </rPr>
          <t xml:space="preserve">
</t>
        </r>
      </text>
    </comment>
    <comment ref="B225" authorId="0" shapeId="0" xr:uid="{987ACAC4-DFD5-4E7A-841D-98D8BE2EC5A7}">
      <text>
        <r>
          <rPr>
            <b/>
            <sz val="8"/>
            <color indexed="81"/>
            <rFont val="Tahoma"/>
            <family val="2"/>
          </rPr>
          <t>Override if Heavy Wall Jack is used.  See chart for weight.</t>
        </r>
        <r>
          <rPr>
            <sz val="8"/>
            <color indexed="81"/>
            <rFont val="Tahoma"/>
            <family val="2"/>
          </rPr>
          <t xml:space="preserve">
</t>
        </r>
      </text>
    </comment>
    <comment ref="B258" authorId="0" shapeId="0" xr:uid="{1291E197-AAB5-4D5D-8F9D-35334CCEB787}">
      <text>
        <r>
          <rPr>
            <b/>
            <sz val="8"/>
            <color indexed="81"/>
            <rFont val="Tahoma"/>
            <family val="2"/>
          </rPr>
          <t>Override if Heavy Wall Jack is used.  See chart for weight.</t>
        </r>
        <r>
          <rPr>
            <sz val="8"/>
            <color indexed="81"/>
            <rFont val="Tahoma"/>
            <family val="2"/>
          </rPr>
          <t xml:space="preserve">
</t>
        </r>
      </text>
    </comment>
    <comment ref="B291" authorId="0" shapeId="0" xr:uid="{2D435EB1-3D3D-41B9-A202-A0EED4E832FE}">
      <text>
        <r>
          <rPr>
            <b/>
            <sz val="8"/>
            <color indexed="81"/>
            <rFont val="Tahoma"/>
            <family val="2"/>
          </rPr>
          <t>Override if Heavy Wall Jack is used.  See chart for weight.</t>
        </r>
        <r>
          <rPr>
            <sz val="8"/>
            <color indexed="81"/>
            <rFont val="Tahoma"/>
            <family val="2"/>
          </rPr>
          <t xml:space="preserve">
</t>
        </r>
      </text>
    </comment>
    <comment ref="B324" authorId="0" shapeId="0" xr:uid="{AEC77E30-E610-47E9-922B-D6940644943D}">
      <text>
        <r>
          <rPr>
            <b/>
            <sz val="8"/>
            <color indexed="81"/>
            <rFont val="Tahoma"/>
            <family val="2"/>
          </rPr>
          <t>Override if Heavy Wall Jack is used.  See chart for weight.</t>
        </r>
        <r>
          <rPr>
            <sz val="8"/>
            <color indexed="81"/>
            <rFont val="Tahoma"/>
            <family val="2"/>
          </rPr>
          <t xml:space="preserve">
</t>
        </r>
      </text>
    </comment>
    <comment ref="B357" authorId="0" shapeId="0" xr:uid="{FEF5BACB-2CB7-4DF1-AFB7-343F77FFFFAE}">
      <text>
        <r>
          <rPr>
            <b/>
            <sz val="8"/>
            <color indexed="81"/>
            <rFont val="Tahoma"/>
            <family val="2"/>
          </rPr>
          <t>Override if Heavy Wall Jack is used.  See chart for weight.</t>
        </r>
        <r>
          <rPr>
            <sz val="8"/>
            <color indexed="81"/>
            <rFont val="Tahoma"/>
            <family val="2"/>
          </rPr>
          <t xml:space="preserve">
</t>
        </r>
      </text>
    </comment>
    <comment ref="B390" authorId="0" shapeId="0" xr:uid="{1FEBFF25-F9A0-4A6F-AAAC-483480163430}">
      <text>
        <r>
          <rPr>
            <b/>
            <sz val="8"/>
            <color indexed="81"/>
            <rFont val="Tahoma"/>
            <family val="2"/>
          </rPr>
          <t>Override if Heavy Wall Jack is used.  See chart for weight.</t>
        </r>
        <r>
          <rPr>
            <sz val="8"/>
            <color indexed="81"/>
            <rFont val="Tahoma"/>
            <family val="2"/>
          </rPr>
          <t xml:space="preserve">
</t>
        </r>
      </text>
    </comment>
    <comment ref="B423" authorId="0" shapeId="0" xr:uid="{AD640EE6-1A11-4507-8F9E-004743170FCC}">
      <text>
        <r>
          <rPr>
            <b/>
            <sz val="8"/>
            <color indexed="81"/>
            <rFont val="Tahoma"/>
            <family val="2"/>
          </rPr>
          <t>Override if Heavy Wall Jack is used.  See chart for weight.</t>
        </r>
        <r>
          <rPr>
            <sz val="8"/>
            <color indexed="81"/>
            <rFont val="Tahoma"/>
            <family val="2"/>
          </rPr>
          <t xml:space="preserve">
</t>
        </r>
      </text>
    </comment>
    <comment ref="B456" authorId="0" shapeId="0" xr:uid="{B78527C0-1189-4F0B-A769-100E96112B79}">
      <text>
        <r>
          <rPr>
            <b/>
            <sz val="8"/>
            <color indexed="81"/>
            <rFont val="Tahoma"/>
            <family val="2"/>
          </rPr>
          <t>Override if Heavy Wall Jack is used.  See chart for weight.</t>
        </r>
        <r>
          <rPr>
            <sz val="8"/>
            <color indexed="81"/>
            <rFont val="Tahoma"/>
            <family val="2"/>
          </rPr>
          <t xml:space="preserve">
</t>
        </r>
      </text>
    </comment>
    <comment ref="B489" authorId="0" shapeId="0" xr:uid="{1A267B1C-98A0-472B-890F-BEEA7D51A42E}">
      <text>
        <r>
          <rPr>
            <b/>
            <sz val="8"/>
            <color indexed="81"/>
            <rFont val="Tahoma"/>
            <family val="2"/>
          </rPr>
          <t>Override if Heavy Wall Jack is used.  See chart for weight.</t>
        </r>
        <r>
          <rPr>
            <sz val="8"/>
            <color indexed="81"/>
            <rFont val="Tahoma"/>
            <family val="2"/>
          </rPr>
          <t xml:space="preserve">
</t>
        </r>
      </text>
    </comment>
    <comment ref="B522" authorId="0" shapeId="0" xr:uid="{33668591-721B-4CDC-AA43-E39821357D4E}">
      <text>
        <r>
          <rPr>
            <b/>
            <sz val="8"/>
            <color indexed="81"/>
            <rFont val="Tahoma"/>
            <family val="2"/>
          </rPr>
          <t>Override if Heavy Wall Jack is used.  See chart for weight.</t>
        </r>
        <r>
          <rPr>
            <sz val="8"/>
            <color indexed="81"/>
            <rFont val="Tahoma"/>
            <family val="2"/>
          </rPr>
          <t xml:space="preserve">
</t>
        </r>
      </text>
    </comment>
    <comment ref="B555" authorId="0" shapeId="0" xr:uid="{B2B5B8B9-8EE2-4C1D-A904-E2936A136D14}">
      <text>
        <r>
          <rPr>
            <b/>
            <sz val="8"/>
            <color indexed="81"/>
            <rFont val="Tahoma"/>
            <family val="2"/>
          </rPr>
          <t>Override if Heavy Wall Jack is used.  See chart for weight.</t>
        </r>
        <r>
          <rPr>
            <sz val="8"/>
            <color indexed="81"/>
            <rFont val="Tahoma"/>
            <family val="2"/>
          </rPr>
          <t xml:space="preserve">
</t>
        </r>
      </text>
    </comment>
    <comment ref="B588" authorId="0" shapeId="0" xr:uid="{9FEAFED9-F10E-4542-BFAB-326630850F89}">
      <text>
        <r>
          <rPr>
            <b/>
            <sz val="8"/>
            <color indexed="81"/>
            <rFont val="Tahoma"/>
            <family val="2"/>
          </rPr>
          <t>Override if Heavy Wall Jack is used.  See chart for weight.</t>
        </r>
        <r>
          <rPr>
            <sz val="8"/>
            <color indexed="81"/>
            <rFont val="Tahoma"/>
            <family val="2"/>
          </rPr>
          <t xml:space="preserve">
</t>
        </r>
      </text>
    </comment>
    <comment ref="B621" authorId="0" shapeId="0" xr:uid="{5C20B7B7-6125-4774-BAEA-823BCC5F9BBB}">
      <text>
        <r>
          <rPr>
            <b/>
            <sz val="8"/>
            <color indexed="81"/>
            <rFont val="Tahoma"/>
            <family val="2"/>
          </rPr>
          <t>Override if Heavy Wall Jack is used.  See chart for weight.</t>
        </r>
        <r>
          <rPr>
            <sz val="8"/>
            <color indexed="81"/>
            <rFont val="Tahoma"/>
            <family val="2"/>
          </rPr>
          <t xml:space="preserve">
</t>
        </r>
      </text>
    </comment>
    <comment ref="B654" authorId="0" shapeId="0" xr:uid="{3A36A0C8-3C68-42FF-A853-9A074BD01A6F}">
      <text>
        <r>
          <rPr>
            <b/>
            <sz val="8"/>
            <color indexed="81"/>
            <rFont val="Tahoma"/>
            <family val="2"/>
          </rPr>
          <t>Override if Heavy Wall Jack is used.  See chart for weight.</t>
        </r>
        <r>
          <rPr>
            <sz val="8"/>
            <color indexed="81"/>
            <rFont val="Tahoma"/>
            <family val="2"/>
          </rPr>
          <t xml:space="preserve">
</t>
        </r>
      </text>
    </comment>
    <comment ref="B687" authorId="0" shapeId="0" xr:uid="{21D02834-2EB4-4F8C-93C7-81110C00A60F}">
      <text>
        <r>
          <rPr>
            <b/>
            <sz val="8"/>
            <color indexed="81"/>
            <rFont val="Tahoma"/>
            <family val="2"/>
          </rPr>
          <t>Override if Heavy Wall Jack is used.  See chart for weight.</t>
        </r>
        <r>
          <rPr>
            <sz val="8"/>
            <color indexed="81"/>
            <rFont val="Tahoma"/>
            <family val="2"/>
          </rPr>
          <t xml:space="preserve">
</t>
        </r>
      </text>
    </comment>
    <comment ref="B720" authorId="0" shapeId="0" xr:uid="{482AB4F9-F3AE-4266-86A8-CB6A57C03FAB}">
      <text>
        <r>
          <rPr>
            <b/>
            <sz val="8"/>
            <color indexed="81"/>
            <rFont val="Tahoma"/>
            <family val="2"/>
          </rPr>
          <t>Override if Heavy Wall Jack is used.  See chart for weight.</t>
        </r>
        <r>
          <rPr>
            <sz val="8"/>
            <color indexed="81"/>
            <rFont val="Tahoma"/>
            <family val="2"/>
          </rPr>
          <t xml:space="preserve">
</t>
        </r>
      </text>
    </comment>
    <comment ref="B753" authorId="0" shapeId="0" xr:uid="{E14A334A-B56A-40B1-A26D-AED654C9FB45}">
      <text>
        <r>
          <rPr>
            <b/>
            <sz val="8"/>
            <color indexed="81"/>
            <rFont val="Tahoma"/>
            <family val="2"/>
          </rPr>
          <t>Override if Heavy Wall Jack is used.  See chart for weight.</t>
        </r>
        <r>
          <rPr>
            <sz val="8"/>
            <color indexed="81"/>
            <rFont val="Tahoma"/>
            <family val="2"/>
          </rPr>
          <t xml:space="preserve">
</t>
        </r>
      </text>
    </comment>
    <comment ref="B786" authorId="0" shapeId="0" xr:uid="{0D5A5C3E-5C89-445F-BDB5-5DF52F9E8FF1}">
      <text>
        <r>
          <rPr>
            <b/>
            <sz val="8"/>
            <color indexed="81"/>
            <rFont val="Tahoma"/>
            <family val="2"/>
          </rPr>
          <t>Override if Heavy Wall Jack is used.  See chart for weight.</t>
        </r>
        <r>
          <rPr>
            <sz val="8"/>
            <color indexed="81"/>
            <rFont val="Tahoma"/>
            <family val="2"/>
          </rPr>
          <t xml:space="preserve">
</t>
        </r>
      </text>
    </comment>
    <comment ref="B819" authorId="0" shapeId="0" xr:uid="{8A93ADE8-B6A1-4545-8D3B-E7831C1C8ACB}">
      <text>
        <r>
          <rPr>
            <b/>
            <sz val="8"/>
            <color indexed="81"/>
            <rFont val="Tahoma"/>
            <family val="2"/>
          </rPr>
          <t>Override if Heavy Wall Jack is used.  See chart for weight.</t>
        </r>
        <r>
          <rPr>
            <sz val="8"/>
            <color indexed="81"/>
            <rFont val="Tahoma"/>
            <family val="2"/>
          </rPr>
          <t xml:space="preserve">
</t>
        </r>
      </text>
    </comment>
    <comment ref="B852" authorId="0" shapeId="0" xr:uid="{F1E7601F-EFE0-4BAA-89DC-629F69B8C7FC}">
      <text>
        <r>
          <rPr>
            <b/>
            <sz val="8"/>
            <color indexed="81"/>
            <rFont val="Tahoma"/>
            <family val="2"/>
          </rPr>
          <t>Override if Heavy Wall Jack is used.  See chart for weight.</t>
        </r>
        <r>
          <rPr>
            <sz val="8"/>
            <color indexed="81"/>
            <rFont val="Tahoma"/>
            <family val="2"/>
          </rPr>
          <t xml:space="preserve">
</t>
        </r>
      </text>
    </comment>
    <comment ref="B885" authorId="0" shapeId="0" xr:uid="{1363BDF2-EB33-400B-BA97-4203D0B8AE34}">
      <text>
        <r>
          <rPr>
            <b/>
            <sz val="8"/>
            <color indexed="81"/>
            <rFont val="Tahoma"/>
            <family val="2"/>
          </rPr>
          <t>Override if Heavy Wall Jack is used.  See chart for weight.</t>
        </r>
        <r>
          <rPr>
            <sz val="8"/>
            <color indexed="81"/>
            <rFont val="Tahoma"/>
            <family val="2"/>
          </rPr>
          <t xml:space="preserve">
</t>
        </r>
      </text>
    </comment>
    <comment ref="B918" authorId="0" shapeId="0" xr:uid="{3BE4BD6F-B085-41A1-9AE1-3FD190B9D62B}">
      <text>
        <r>
          <rPr>
            <b/>
            <sz val="8"/>
            <color indexed="81"/>
            <rFont val="Tahoma"/>
            <family val="2"/>
          </rPr>
          <t>Override if Heavy Wall Jack is used.  See chart for weight.</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mfreeman</author>
    <author>Nick McConnell</author>
    <author>tke</author>
  </authors>
  <commentList>
    <comment ref="C7" authorId="0" shapeId="0" xr:uid="{00000000-0006-0000-0300-000001000000}">
      <text>
        <r>
          <rPr>
            <b/>
            <sz val="8"/>
            <color indexed="81"/>
            <rFont val="Tahoma"/>
            <family val="2"/>
          </rPr>
          <t xml:space="preserve">Choose Jack Type if TKE type jack or insert foreign size.
</t>
        </r>
        <r>
          <rPr>
            <sz val="8"/>
            <color indexed="81"/>
            <rFont val="Tahoma"/>
            <family val="2"/>
          </rPr>
          <t xml:space="preserve">
</t>
        </r>
      </text>
    </comment>
    <comment ref="E9" authorId="0" shapeId="0" xr:uid="{00000000-0006-0000-0300-000002000000}">
      <text>
        <r>
          <rPr>
            <b/>
            <sz val="8"/>
            <color indexed="81"/>
            <rFont val="Tahoma"/>
            <family val="2"/>
          </rPr>
          <t>Enter actual travel.</t>
        </r>
        <r>
          <rPr>
            <sz val="8"/>
            <color indexed="81"/>
            <rFont val="Tahoma"/>
            <family val="2"/>
          </rPr>
          <t xml:space="preserve">
</t>
        </r>
      </text>
    </comment>
    <comment ref="G9" authorId="0" shapeId="0" xr:uid="{00000000-0006-0000-0300-000003000000}">
      <text>
        <r>
          <rPr>
            <b/>
            <sz val="8"/>
            <color indexed="81"/>
            <rFont val="Tahoma"/>
            <family val="2"/>
          </rPr>
          <t>Override if Heavy Wall Jack is used.  See chart for weight.</t>
        </r>
        <r>
          <rPr>
            <sz val="8"/>
            <color indexed="81"/>
            <rFont val="Tahoma"/>
            <family val="2"/>
          </rPr>
          <t xml:space="preserve">
</t>
        </r>
      </text>
    </comment>
    <comment ref="I10" authorId="1" shapeId="0" xr:uid="{00000000-0006-0000-0300-000004000000}">
      <text>
        <r>
          <rPr>
            <b/>
            <sz val="9"/>
            <color indexed="81"/>
            <rFont val="Tahoma"/>
            <family val="2"/>
          </rPr>
          <t>For existing Non-TKE jacks (don't use if new or reuse TKE Twin post, select appropriate jack from Jack Type Dropdown and leave this cell blank)</t>
        </r>
      </text>
    </comment>
    <comment ref="E12" authorId="0" shapeId="0" xr:uid="{00000000-0006-0000-0300-000005000000}">
      <text>
        <r>
          <rPr>
            <b/>
            <sz val="8"/>
            <color indexed="81"/>
            <rFont val="Tahoma"/>
            <family val="2"/>
          </rPr>
          <t>Insert HP to be provided to customer.</t>
        </r>
        <r>
          <rPr>
            <sz val="8"/>
            <color indexed="81"/>
            <rFont val="Tahoma"/>
            <family val="2"/>
          </rPr>
          <t xml:space="preserve">
</t>
        </r>
      </text>
    </comment>
    <comment ref="G15" authorId="0" shapeId="0" xr:uid="{00000000-0006-0000-0300-000006000000}">
      <text>
        <r>
          <rPr>
            <b/>
            <sz val="8"/>
            <color indexed="81"/>
            <rFont val="Tahoma"/>
            <family val="2"/>
          </rPr>
          <t>Enter GPM of actual power unit selected.</t>
        </r>
        <r>
          <rPr>
            <sz val="8"/>
            <color indexed="81"/>
            <rFont val="Tahoma"/>
            <family val="2"/>
          </rPr>
          <t xml:space="preserve">
</t>
        </r>
      </text>
    </comment>
    <comment ref="D156" authorId="1" shapeId="0" xr:uid="{00000000-0006-0000-0300-000007000000}">
      <text>
        <r>
          <rPr>
            <b/>
            <sz val="9"/>
            <color indexed="81"/>
            <rFont val="Tahoma"/>
            <family val="2"/>
          </rPr>
          <t>Restrictor clutch will only work for the following:
S/S: &gt;=32"
C/O: &gt;=32"
2/S: &gt;=47"
2C/O: &gt;=73"
Less than requires Vane Restrictors.</t>
        </r>
      </text>
    </comment>
    <comment ref="D158" authorId="1" shapeId="0" xr:uid="{00000000-0006-0000-0300-000008000000}">
      <text>
        <r>
          <rPr>
            <b/>
            <sz val="9"/>
            <color indexed="81"/>
            <rFont val="Tahoma"/>
            <family val="2"/>
          </rPr>
          <t>Restrictor clutch will only work for the following:
S/S: &gt;=32"
C/O: &gt;=32"
2/S: &gt;=47"
2C/O: &gt;=73"
Less than requires Vane Restrictors.</t>
        </r>
      </text>
    </comment>
    <comment ref="A164" authorId="0" shapeId="0" xr:uid="{00000000-0006-0000-0300-000009000000}">
      <text>
        <r>
          <rPr>
            <b/>
            <sz val="8"/>
            <color indexed="81"/>
            <rFont val="Tahoma"/>
            <family val="2"/>
          </rPr>
          <t>Enter number of openings required.</t>
        </r>
      </text>
    </comment>
    <comment ref="A172" authorId="0" shapeId="0" xr:uid="{00000000-0006-0000-0300-00000A000000}">
      <text>
        <r>
          <rPr>
            <b/>
            <sz val="8"/>
            <color indexed="81"/>
            <rFont val="Tahoma"/>
            <family val="2"/>
          </rPr>
          <t>Enter number of openings required.</t>
        </r>
      </text>
    </comment>
    <comment ref="C181" authorId="1" shapeId="0" xr:uid="{00000000-0006-0000-0300-00000B000000}">
      <text>
        <r>
          <rPr>
            <b/>
            <sz val="9"/>
            <color indexed="81"/>
            <rFont val="Tahoma"/>
            <family val="2"/>
          </rPr>
          <t>for Otis 6970 &amp; 7300 &amp; 7770 &amp; QL, Westinghouse BB2 &amp; E4 &amp; HY, Haughton, GAL MOD/MOM/MOH, HD-91, HD-73, HD-85, HD-86, DC-62,  DC-68 and DC68 MARK II, Shindler QKS</t>
        </r>
      </text>
    </comment>
    <comment ref="D185" authorId="1" shapeId="0" xr:uid="{00000000-0006-0000-0300-00000C000000}">
      <text>
        <r>
          <rPr>
            <b/>
            <sz val="9"/>
            <color indexed="81"/>
            <rFont val="Tahoma"/>
            <family val="2"/>
          </rPr>
          <t>Restrictor clutch will only work for the following:
S/S: &gt;=32"
C/O: &gt;=32"
2/S: &gt;=47"
2C/O: &gt;=73"
Less than requires Vane Restrictors.</t>
        </r>
      </text>
    </comment>
    <comment ref="A186" authorId="0" shapeId="0" xr:uid="{00000000-0006-0000-0300-00000D000000}">
      <text>
        <r>
          <rPr>
            <b/>
            <sz val="8"/>
            <color indexed="81"/>
            <rFont val="Tahoma"/>
            <family val="2"/>
          </rPr>
          <t>Enter number of openings required.</t>
        </r>
      </text>
    </comment>
    <comment ref="A187" authorId="0" shapeId="0" xr:uid="{00000000-0006-0000-0300-00000E000000}">
      <text>
        <r>
          <rPr>
            <b/>
            <sz val="8"/>
            <color indexed="81"/>
            <rFont val="Tahoma"/>
            <family val="2"/>
          </rPr>
          <t>Enter number of openings required.</t>
        </r>
      </text>
    </comment>
    <comment ref="A188" authorId="0" shapeId="0" xr:uid="{00000000-0006-0000-0300-00000F000000}">
      <text>
        <r>
          <rPr>
            <b/>
            <sz val="8"/>
            <color indexed="81"/>
            <rFont val="Tahoma"/>
            <family val="2"/>
          </rPr>
          <t>Enter number of openings required.</t>
        </r>
      </text>
    </comment>
    <comment ref="A189" authorId="0" shapeId="0" xr:uid="{00000000-0006-0000-0300-000010000000}">
      <text>
        <r>
          <rPr>
            <b/>
            <sz val="8"/>
            <color indexed="81"/>
            <rFont val="Tahoma"/>
            <family val="2"/>
          </rPr>
          <t>Enter number of openings required.</t>
        </r>
      </text>
    </comment>
    <comment ref="A190" authorId="0" shapeId="0" xr:uid="{00000000-0006-0000-0300-000011000000}">
      <text>
        <r>
          <rPr>
            <b/>
            <sz val="8"/>
            <color indexed="81"/>
            <rFont val="Tahoma"/>
            <family val="2"/>
          </rPr>
          <t>Enter number of openings required.</t>
        </r>
      </text>
    </comment>
    <comment ref="A191" authorId="0" shapeId="0" xr:uid="{00000000-0006-0000-0300-000012000000}">
      <text>
        <r>
          <rPr>
            <b/>
            <sz val="8"/>
            <color indexed="81"/>
            <rFont val="Tahoma"/>
            <family val="2"/>
          </rPr>
          <t>Enter number of openings required.</t>
        </r>
      </text>
    </comment>
    <comment ref="A276" authorId="0" shapeId="0" xr:uid="{00000000-0006-0000-0300-000013000000}">
      <text>
        <r>
          <rPr>
            <b/>
            <sz val="8"/>
            <color indexed="81"/>
            <rFont val="Tahoma"/>
            <family val="2"/>
          </rPr>
          <t>Enter number of panels required.</t>
        </r>
      </text>
    </comment>
    <comment ref="A277" authorId="0" shapeId="0" xr:uid="{00000000-0006-0000-0300-000014000000}">
      <text>
        <r>
          <rPr>
            <b/>
            <sz val="8"/>
            <color indexed="81"/>
            <rFont val="Tahoma"/>
            <family val="2"/>
          </rPr>
          <t>Enter number of panels required.</t>
        </r>
      </text>
    </comment>
    <comment ref="A278" authorId="0" shapeId="0" xr:uid="{00000000-0006-0000-0300-000015000000}">
      <text>
        <r>
          <rPr>
            <b/>
            <sz val="8"/>
            <color indexed="81"/>
            <rFont val="Tahoma"/>
            <family val="2"/>
          </rPr>
          <t>Enter number of panels required.</t>
        </r>
      </text>
    </comment>
    <comment ref="C426" authorId="0" shapeId="0" xr:uid="{00000000-0006-0000-0300-000016000000}">
      <text>
        <r>
          <rPr>
            <sz val="8"/>
            <color indexed="81"/>
            <rFont val="Tahoma"/>
            <family val="2"/>
          </rPr>
          <t>Omega Rails only
Sideposts only
up to 5000 lbs capacity
Lubricators included</t>
        </r>
      </text>
    </comment>
    <comment ref="C429" authorId="0" shapeId="0" xr:uid="{00000000-0006-0000-0300-000017000000}">
      <text>
        <r>
          <rPr>
            <sz val="8"/>
            <color indexed="81"/>
            <rFont val="Tahoma"/>
            <family val="2"/>
          </rPr>
          <t>Max Car Width 8'6"
Up to 5000 lbs capacity
Up to 250 FPM
Add balance weights for front opening only</t>
        </r>
      </text>
    </comment>
    <comment ref="C430" authorId="0" shapeId="0" xr:uid="{00000000-0006-0000-0300-000018000000}">
      <text>
        <r>
          <rPr>
            <sz val="8"/>
            <color indexed="81"/>
            <rFont val="Tahoma"/>
            <family val="2"/>
          </rPr>
          <t xml:space="preserve">8 or 15 lb rails
</t>
        </r>
      </text>
    </comment>
    <comment ref="D606" authorId="1" shapeId="0" xr:uid="{00000000-0006-0000-0300-000019000000}">
      <text>
        <r>
          <rPr>
            <b/>
            <sz val="9"/>
            <color indexed="81"/>
            <rFont val="Tahoma"/>
            <family val="2"/>
          </rPr>
          <t>Max Car Weight + Capacity</t>
        </r>
      </text>
    </comment>
    <comment ref="A607" authorId="1" shapeId="0" xr:uid="{00000000-0006-0000-0300-00001A000000}">
      <text>
        <r>
          <rPr>
            <b/>
            <sz val="9"/>
            <color indexed="81"/>
            <rFont val="Tahoma"/>
            <family val="2"/>
          </rPr>
          <t>Enter quantity as 1
Travel required above</t>
        </r>
      </text>
    </comment>
    <comment ref="A608" authorId="1" shapeId="0" xr:uid="{00000000-0006-0000-0300-00001B000000}">
      <text>
        <r>
          <rPr>
            <b/>
            <sz val="9"/>
            <color indexed="81"/>
            <rFont val="Tahoma"/>
            <family val="2"/>
          </rPr>
          <t>Enter quantity as 1
Be sure to add travel in yellow box.</t>
        </r>
      </text>
    </comment>
    <comment ref="D608" authorId="1" shapeId="0" xr:uid="{00000000-0006-0000-0300-00001C000000}">
      <text>
        <r>
          <rPr>
            <b/>
            <sz val="9"/>
            <color indexed="81"/>
            <rFont val="Tahoma"/>
            <family val="2"/>
          </rPr>
          <t>Enter additional travel (in feet) required for adding a landing(s)</t>
        </r>
      </text>
    </comment>
    <comment ref="A609" authorId="1" shapeId="0" xr:uid="{00000000-0006-0000-0300-00001D000000}">
      <text>
        <r>
          <rPr>
            <b/>
            <sz val="9"/>
            <color indexed="81"/>
            <rFont val="Tahoma"/>
            <family val="2"/>
          </rPr>
          <t>Enter quantity as 1
Travel required above</t>
        </r>
      </text>
    </comment>
    <comment ref="A610" authorId="1" shapeId="0" xr:uid="{00000000-0006-0000-0300-00001E000000}">
      <text>
        <r>
          <rPr>
            <b/>
            <sz val="9"/>
            <color indexed="81"/>
            <rFont val="Tahoma"/>
            <family val="2"/>
          </rPr>
          <t>Enter quantity as 1
Be sure to add travel in yellow box.</t>
        </r>
      </text>
    </comment>
    <comment ref="D610" authorId="1" shapeId="0" xr:uid="{00000000-0006-0000-0300-00001F000000}">
      <text>
        <r>
          <rPr>
            <b/>
            <sz val="9"/>
            <color indexed="81"/>
            <rFont val="Tahoma"/>
            <family val="2"/>
          </rPr>
          <t>Enter additional travel (in feet) required for adding a landing(s)</t>
        </r>
      </text>
    </comment>
    <comment ref="A611" authorId="1" shapeId="0" xr:uid="{00000000-0006-0000-0300-000020000000}">
      <text>
        <r>
          <rPr>
            <b/>
            <sz val="9"/>
            <color indexed="81"/>
            <rFont val="Tahoma"/>
            <family val="2"/>
          </rPr>
          <t>Enter quantity as 1
Travel required above</t>
        </r>
      </text>
    </comment>
    <comment ref="A612" authorId="1" shapeId="0" xr:uid="{00000000-0006-0000-0300-000021000000}">
      <text>
        <r>
          <rPr>
            <b/>
            <sz val="9"/>
            <color indexed="81"/>
            <rFont val="Tahoma"/>
            <family val="2"/>
          </rPr>
          <t>Enter quantity as 1
Be sure to add travel in yellow box.</t>
        </r>
      </text>
    </comment>
    <comment ref="D612" authorId="0" shapeId="0" xr:uid="{00000000-0006-0000-0300-000022000000}">
      <text>
        <r>
          <rPr>
            <sz val="8"/>
            <color indexed="81"/>
            <rFont val="Tahoma"/>
            <family val="2"/>
          </rPr>
          <t>Price is per foot of hoistway:  
Enter Hoistway Height:  Net Travel+ pit depth+ overhead
If adding a landing(s) just enter additional travel</t>
        </r>
      </text>
    </comment>
    <comment ref="A613" authorId="1" shapeId="0" xr:uid="{00000000-0006-0000-0300-000023000000}">
      <text>
        <r>
          <rPr>
            <b/>
            <sz val="9"/>
            <color indexed="81"/>
            <rFont val="Tahoma"/>
            <family val="2"/>
          </rPr>
          <t>Enter quantity as 1
Be sure to add travel in yellow box.</t>
        </r>
      </text>
    </comment>
    <comment ref="D613" authorId="0" shapeId="0" xr:uid="{00000000-0006-0000-0300-000024000000}">
      <text>
        <r>
          <rPr>
            <sz val="8"/>
            <color indexed="81"/>
            <rFont val="Tahoma"/>
            <family val="2"/>
          </rPr>
          <t>Price is per foot of hoistway:  
Enter Hoistway Height:  Net Travel+ pit depth+ overhead
If adding a landing(s) just enter additional travel</t>
        </r>
      </text>
    </comment>
    <comment ref="A614" authorId="1" shapeId="0" xr:uid="{00000000-0006-0000-0300-000025000000}">
      <text>
        <r>
          <rPr>
            <b/>
            <sz val="9"/>
            <color indexed="81"/>
            <rFont val="Tahoma"/>
            <family val="2"/>
          </rPr>
          <t>Enter quantity as 1
Be sure to add travel in yellow box.</t>
        </r>
      </text>
    </comment>
    <comment ref="D614" authorId="0" shapeId="0" xr:uid="{00000000-0006-0000-0300-000026000000}">
      <text>
        <r>
          <rPr>
            <sz val="8"/>
            <color indexed="81"/>
            <rFont val="Tahoma"/>
            <family val="2"/>
          </rPr>
          <t>Price is per foot of hoistway:  
Enter Hoistway Height:  Net Travel+ pit depth+ overhead
If adding a landing(s) just enter additional travel</t>
        </r>
      </text>
    </comment>
    <comment ref="A615" authorId="1" shapeId="0" xr:uid="{00000000-0006-0000-0300-000027000000}">
      <text>
        <r>
          <rPr>
            <b/>
            <sz val="9"/>
            <color indexed="81"/>
            <rFont val="Tahoma"/>
            <family val="2"/>
          </rPr>
          <t>Enter quantity as 1
Be sure to add travel in yellow box.</t>
        </r>
      </text>
    </comment>
    <comment ref="D615" authorId="0" shapeId="0" xr:uid="{00000000-0006-0000-0300-000028000000}">
      <text>
        <r>
          <rPr>
            <sz val="8"/>
            <color indexed="81"/>
            <rFont val="Tahoma"/>
            <family val="2"/>
          </rPr>
          <t>Price is per foot of hoistway:  
Enter Hoistway Height:  Net Travel+ pit depth+ overhead
If adding a landing(s) just enter additional travel</t>
        </r>
      </text>
    </comment>
    <comment ref="A616" authorId="1" shapeId="0" xr:uid="{00000000-0006-0000-0300-000029000000}">
      <text>
        <r>
          <rPr>
            <b/>
            <sz val="9"/>
            <color indexed="81"/>
            <rFont val="Tahoma"/>
            <family val="2"/>
          </rPr>
          <t>Enter quantity as 1
Be sure to add travel in yellow box.</t>
        </r>
      </text>
    </comment>
    <comment ref="D616" authorId="0" shapeId="0" xr:uid="{00000000-0006-0000-0300-00002A000000}">
      <text>
        <r>
          <rPr>
            <sz val="8"/>
            <color indexed="81"/>
            <rFont val="Tahoma"/>
            <family val="2"/>
          </rPr>
          <t>Price is per foot of hoistway:  
Enter Hoistway Height:  Net Travel+ pit depth+ overhead
If adding a landing(s) just enter additional travel</t>
        </r>
      </text>
    </comment>
    <comment ref="A617" authorId="1" shapeId="0" xr:uid="{00000000-0006-0000-0300-00002B000000}">
      <text>
        <r>
          <rPr>
            <b/>
            <sz val="9"/>
            <color indexed="81"/>
            <rFont val="Tahoma"/>
            <family val="2"/>
          </rPr>
          <t>Enter quantity as 1
Be sure to add travel in yellow box.</t>
        </r>
      </text>
    </comment>
    <comment ref="D617" authorId="0" shapeId="0" xr:uid="{00000000-0006-0000-0300-00002C000000}">
      <text>
        <r>
          <rPr>
            <sz val="8"/>
            <color indexed="81"/>
            <rFont val="Tahoma"/>
            <family val="2"/>
          </rPr>
          <t>Price is per foot of hoistway:  
Enter Hoistway Height:  Net Travel+ pit depth+ overhead
If adding a landing(s) just enter additional travel</t>
        </r>
      </text>
    </comment>
    <comment ref="A618" authorId="1" shapeId="0" xr:uid="{00000000-0006-0000-0300-00002D000000}">
      <text>
        <r>
          <rPr>
            <b/>
            <sz val="9"/>
            <color indexed="81"/>
            <rFont val="Tahoma"/>
            <family val="2"/>
          </rPr>
          <t>Enter quantity as 1
Be sure to add travel in yellow box.</t>
        </r>
      </text>
    </comment>
    <comment ref="D618" authorId="0" shapeId="0" xr:uid="{00000000-0006-0000-0300-00002E000000}">
      <text>
        <r>
          <rPr>
            <sz val="8"/>
            <color indexed="81"/>
            <rFont val="Tahoma"/>
            <family val="2"/>
          </rPr>
          <t>Price is per foot of hoistway:  
Enter Hoistway Height:  Net Travel+ pit depth+ overhead
If adding a landing(s) just enter additional travel</t>
        </r>
      </text>
    </comment>
    <comment ref="A619" authorId="1" shapeId="0" xr:uid="{00000000-0006-0000-0300-00002F000000}">
      <text>
        <r>
          <rPr>
            <b/>
            <sz val="9"/>
            <color indexed="81"/>
            <rFont val="Tahoma"/>
            <family val="2"/>
          </rPr>
          <t>Enter quantity as 1
Be sure to add travel in yellow box.</t>
        </r>
      </text>
    </comment>
    <comment ref="D619" authorId="0" shapeId="0" xr:uid="{00000000-0006-0000-0300-000030000000}">
      <text>
        <r>
          <rPr>
            <sz val="8"/>
            <color indexed="81"/>
            <rFont val="Tahoma"/>
            <family val="2"/>
          </rPr>
          <t>Price is per foot of hoistway:  
Enter Hoistway Height:  Net Travel+ pit depth+ overhead
If adding a landing(s) just enter additional travel</t>
        </r>
      </text>
    </comment>
    <comment ref="A620" authorId="1" shapeId="0" xr:uid="{00000000-0006-0000-0300-000031000000}">
      <text>
        <r>
          <rPr>
            <b/>
            <sz val="9"/>
            <color indexed="81"/>
            <rFont val="Tahoma"/>
            <family val="2"/>
          </rPr>
          <t>Enter quantity as 1
Be sure to add travel in yellow box.</t>
        </r>
      </text>
    </comment>
    <comment ref="D620" authorId="0" shapeId="0" xr:uid="{00000000-0006-0000-0300-000032000000}">
      <text>
        <r>
          <rPr>
            <sz val="8"/>
            <color indexed="81"/>
            <rFont val="Tahoma"/>
            <family val="2"/>
          </rPr>
          <t>Price is per foot of hoistway:  
Enter Hoistway Height:  Net Travel+ pit depth+ overhead
If adding a landing(s) just enter additional travel</t>
        </r>
      </text>
    </comment>
    <comment ref="A621" authorId="1" shapeId="0" xr:uid="{00000000-0006-0000-0300-000033000000}">
      <text>
        <r>
          <rPr>
            <b/>
            <sz val="9"/>
            <color indexed="81"/>
            <rFont val="Tahoma"/>
            <family val="2"/>
          </rPr>
          <t>Enter quantity as 1
Be sure to add travel in yellow box.</t>
        </r>
      </text>
    </comment>
    <comment ref="D621" authorId="0" shapeId="0" xr:uid="{00000000-0006-0000-0300-000034000000}">
      <text>
        <r>
          <rPr>
            <sz val="8"/>
            <color indexed="81"/>
            <rFont val="Tahoma"/>
            <family val="2"/>
          </rPr>
          <t>Price is per foot of hoistway:  
Enter Hoistway Height:  Net Travel+ pit depth+ overhead
If adding a landing(s) just enter additional travel</t>
        </r>
      </text>
    </comment>
    <comment ref="A622" authorId="1" shapeId="0" xr:uid="{00000000-0006-0000-0300-000035000000}">
      <text>
        <r>
          <rPr>
            <b/>
            <sz val="9"/>
            <color indexed="81"/>
            <rFont val="Tahoma"/>
            <family val="2"/>
          </rPr>
          <t>Enter quantity as 1
Be sure to add travel in yellow box.</t>
        </r>
      </text>
    </comment>
    <comment ref="D622" authorId="0" shapeId="0" xr:uid="{00000000-0006-0000-0300-000036000000}">
      <text>
        <r>
          <rPr>
            <sz val="8"/>
            <color indexed="81"/>
            <rFont val="Tahoma"/>
            <family val="2"/>
          </rPr>
          <t>Price is per foot of hoistway:  
Enter Hoistway Height:  Net Travel+ pit depth+ overhead
If adding a landing(s) just enter additional travel</t>
        </r>
      </text>
    </comment>
    <comment ref="A623" authorId="1" shapeId="0" xr:uid="{00000000-0006-0000-0300-000037000000}">
      <text>
        <r>
          <rPr>
            <b/>
            <sz val="9"/>
            <color indexed="81"/>
            <rFont val="Tahoma"/>
            <family val="2"/>
          </rPr>
          <t>Enter quantity as 1
Be sure to add travel in yellow box.</t>
        </r>
      </text>
    </comment>
    <comment ref="D623" authorId="0" shapeId="0" xr:uid="{00000000-0006-0000-0300-000038000000}">
      <text>
        <r>
          <rPr>
            <sz val="8"/>
            <color indexed="81"/>
            <rFont val="Tahoma"/>
            <family val="2"/>
          </rPr>
          <t>Price is per foot of hoistway:  
Enter Hoistway Height:  Net Travel+ pit depth+ overhead
If adding a landing(s) just enter additional travel</t>
        </r>
      </text>
    </comment>
    <comment ref="A624" authorId="1" shapeId="0" xr:uid="{00000000-0006-0000-0300-000039000000}">
      <text>
        <r>
          <rPr>
            <b/>
            <sz val="9"/>
            <color indexed="81"/>
            <rFont val="Tahoma"/>
            <family val="2"/>
          </rPr>
          <t>Enter quantity as 1
Be sure to add travel in yellow box.</t>
        </r>
      </text>
    </comment>
    <comment ref="D624" authorId="0" shapeId="0" xr:uid="{00000000-0006-0000-0300-00003A000000}">
      <text>
        <r>
          <rPr>
            <sz val="8"/>
            <color indexed="81"/>
            <rFont val="Tahoma"/>
            <family val="2"/>
          </rPr>
          <t>Price is per foot of hoistway:  
Enter Hoistway Height:  Net Travel+ pit depth+ overhead
If adding a landing(s) just enter additional travel</t>
        </r>
      </text>
    </comment>
    <comment ref="A625" authorId="1" shapeId="0" xr:uid="{00000000-0006-0000-0300-00003B000000}">
      <text>
        <r>
          <rPr>
            <b/>
            <sz val="9"/>
            <color indexed="81"/>
            <rFont val="Tahoma"/>
            <family val="2"/>
          </rPr>
          <t>Enter quantity as 1
Be sure to add travel in yellow box.</t>
        </r>
      </text>
    </comment>
    <comment ref="D625" authorId="0" shapeId="0" xr:uid="{00000000-0006-0000-0300-00003C000000}">
      <text>
        <r>
          <rPr>
            <sz val="8"/>
            <color indexed="81"/>
            <rFont val="Tahoma"/>
            <family val="2"/>
          </rPr>
          <t>Price is per foot of hoistway:  
Enter Hoistway Height:  Net Travel+ pit depth+ overhead
If adding a landing(s) just enter additional travel</t>
        </r>
      </text>
    </comment>
    <comment ref="C677" authorId="2" shapeId="0" xr:uid="{00000000-0006-0000-0300-00003D000000}">
      <text>
        <r>
          <rPr>
            <b/>
            <sz val="8"/>
            <color indexed="81"/>
            <rFont val="Tahoma"/>
            <family val="2"/>
          </rPr>
          <t>For TKE/DOVER jacks only</t>
        </r>
      </text>
    </comment>
    <comment ref="C678" authorId="2" shapeId="0" xr:uid="{00000000-0006-0000-0300-00003E000000}">
      <text>
        <r>
          <rPr>
            <b/>
            <sz val="8"/>
            <color indexed="81"/>
            <rFont val="Tahoma"/>
            <family val="2"/>
          </rPr>
          <t>For TKE/DOVER jacks only</t>
        </r>
      </text>
    </comment>
  </commentList>
</comments>
</file>

<file path=xl/sharedStrings.xml><?xml version="1.0" encoding="utf-8"?>
<sst xmlns="http://schemas.openxmlformats.org/spreadsheetml/2006/main" count="4193" uniqueCount="975">
  <si>
    <t>**********JACK SAFETY FACTOR AND COMPRESSIBILITY***********</t>
  </si>
  <si>
    <t xml:space="preserve"> </t>
  </si>
  <si>
    <t>SF =</t>
  </si>
  <si>
    <t>PLUNGER LOOKUP TABLE 1</t>
  </si>
  <si>
    <t>= C</t>
  </si>
  <si>
    <t>MAX. 1-PC.</t>
  </si>
  <si>
    <t>TOTAL</t>
  </si>
  <si>
    <t>"METAL</t>
  </si>
  <si>
    <t>MOMENT</t>
  </si>
  <si>
    <t>RAD OF</t>
  </si>
  <si>
    <t>WEIGHT</t>
  </si>
  <si>
    <t>DIM.</t>
  </si>
  <si>
    <t>F3</t>
  </si>
  <si>
    <t>COMPRESSIBILITY</t>
  </si>
  <si>
    <t>= METAL AREA</t>
  </si>
  <si>
    <t>JACK</t>
  </si>
  <si>
    <t>PLNG.LTH.</t>
  </si>
  <si>
    <t>AREA</t>
  </si>
  <si>
    <t>INERTIA</t>
  </si>
  <si>
    <t>GYR.</t>
  </si>
  <si>
    <t>PER FT.</t>
  </si>
  <si>
    <t>A</t>
  </si>
  <si>
    <t>C</t>
  </si>
  <si>
    <t>D</t>
  </si>
  <si>
    <t>E</t>
  </si>
  <si>
    <t>F - STD.SIZE</t>
  </si>
  <si>
    <t>OVERSIZE</t>
  </si>
  <si>
    <t>6S-SW</t>
  </si>
  <si>
    <t>ENTER JACK SIZE (COMPLETE LABEL: AS, 7S-EHW)</t>
  </si>
  <si>
    <t>= GLOJ</t>
  </si>
  <si>
    <t>3S-SW</t>
  </si>
  <si>
    <t>ENTER TOTAL TRAVEL - FEET</t>
  </si>
  <si>
    <t>= PLNGR WT/FT</t>
  </si>
  <si>
    <t>3S-HW</t>
  </si>
  <si>
    <t>ENTER TOTAL TRAVEL - INCHES</t>
  </si>
  <si>
    <t xml:space="preserve"> = R</t>
  </si>
  <si>
    <t>4S-SW</t>
  </si>
  <si>
    <t>ENTER MAX. GROSS LOAD ON JACK (GLOJ)</t>
  </si>
  <si>
    <t>= FL</t>
  </si>
  <si>
    <t>4S-HW</t>
  </si>
  <si>
    <t>ENTER CAPACITY (1.5 X CAPY. FOR C-2)</t>
  </si>
  <si>
    <t>= T.T.</t>
  </si>
  <si>
    <t>4S-EHW</t>
  </si>
  <si>
    <t>ENTER 1 FOR O/S CASING; 0 ALL OTHERS</t>
  </si>
  <si>
    <t>5S-SW</t>
  </si>
  <si>
    <t>5S-HW</t>
  </si>
  <si>
    <t>PRINT SAFETY FACTOR (MUST EQUAL OR EXCEED 3.00)</t>
  </si>
  <si>
    <t>5S-EHW</t>
  </si>
  <si>
    <t>PRINT COMPRESSIBILITY (MAX. 1.0, PSNGR.)(1.5, FREIGHT)</t>
  </si>
  <si>
    <t>COMP =</t>
  </si>
  <si>
    <t>5S-SHW</t>
  </si>
  <si>
    <t>= F</t>
  </si>
  <si>
    <t>= W</t>
  </si>
  <si>
    <t>6S-HW</t>
  </si>
  <si>
    <t>6S-EHW</t>
  </si>
  <si>
    <t>6S-SHW</t>
  </si>
  <si>
    <t>7S-SW</t>
  </si>
  <si>
    <t>7S-HW</t>
  </si>
  <si>
    <t>7S-SHW</t>
  </si>
  <si>
    <t>7S-EHW</t>
  </si>
  <si>
    <t>8S-SW</t>
  </si>
  <si>
    <t>8S-HW</t>
  </si>
  <si>
    <t>9S-SW</t>
  </si>
  <si>
    <t>9S-HW</t>
  </si>
  <si>
    <t>10S-SW</t>
  </si>
  <si>
    <t>10S-HW</t>
  </si>
  <si>
    <t>10S-EHW</t>
  </si>
  <si>
    <t>12S-SW</t>
  </si>
  <si>
    <t>12S-HW</t>
  </si>
  <si>
    <t>15S-SW</t>
  </si>
  <si>
    <t>8S-EHW</t>
  </si>
  <si>
    <t>Passenger</t>
  </si>
  <si>
    <t>Freight</t>
  </si>
  <si>
    <t>Passenger or Freight</t>
  </si>
  <si>
    <t>General Information:</t>
  </si>
  <si>
    <t>Internal Use Only</t>
  </si>
  <si>
    <t>Type</t>
  </si>
  <si>
    <t>Weight</t>
  </si>
  <si>
    <t>Power Unit</t>
  </si>
  <si>
    <t>GPM</t>
  </si>
  <si>
    <t>Project Name</t>
  </si>
  <si>
    <t># of Units</t>
  </si>
  <si>
    <t>Standard</t>
  </si>
  <si>
    <t>3T Single</t>
  </si>
  <si>
    <t>EP-30</t>
  </si>
  <si>
    <t>Elevators</t>
  </si>
  <si>
    <t>Speed</t>
  </si>
  <si>
    <t>HP</t>
  </si>
  <si>
    <t>2S Twin</t>
  </si>
  <si>
    <t>EP-40</t>
  </si>
  <si>
    <t>Existing Job #</t>
  </si>
  <si>
    <t>Capacity</t>
  </si>
  <si>
    <t>Pump GPM</t>
  </si>
  <si>
    <t>Light load Static Pressure</t>
  </si>
  <si>
    <t>3S Twin</t>
  </si>
  <si>
    <t>EP-50</t>
  </si>
  <si>
    <t>Operation</t>
  </si>
  <si>
    <t>Stops</t>
  </si>
  <si>
    <t>GLOPU</t>
  </si>
  <si>
    <t>Heavy load Static Pressure</t>
  </si>
  <si>
    <t>2.5 TwinTele</t>
  </si>
  <si>
    <t xml:space="preserve">EP-60 </t>
  </si>
  <si>
    <t>GAL MOVFR (By others)</t>
  </si>
  <si>
    <t xml:space="preserve">Type </t>
  </si>
  <si>
    <t>Openings</t>
  </si>
  <si>
    <t>Displacement</t>
  </si>
  <si>
    <t xml:space="preserve">Light load </t>
  </si>
  <si>
    <t>3.0 TwinTele</t>
  </si>
  <si>
    <t xml:space="preserve">EP-70 </t>
  </si>
  <si>
    <t>MAC PMSSC (By others)</t>
  </si>
  <si>
    <t xml:space="preserve">Jack Size </t>
  </si>
  <si>
    <t>Front</t>
  </si>
  <si>
    <t>Up Speed</t>
  </si>
  <si>
    <t xml:space="preserve">EP-80 </t>
  </si>
  <si>
    <t>Other</t>
  </si>
  <si>
    <t>Control System</t>
  </si>
  <si>
    <t>Rear</t>
  </si>
  <si>
    <t>Tank Capacity</t>
  </si>
  <si>
    <t xml:space="preserve">Heavy Load  </t>
  </si>
  <si>
    <t xml:space="preserve">EP-95 </t>
  </si>
  <si>
    <t>Front Doors</t>
  </si>
  <si>
    <t>Travel</t>
  </si>
  <si>
    <t>Plunger Weight</t>
  </si>
  <si>
    <t xml:space="preserve">EP-105 </t>
  </si>
  <si>
    <t>Rear Doors</t>
  </si>
  <si>
    <t>Jack Type</t>
  </si>
  <si>
    <t>2 Jacks?-&gt;</t>
  </si>
  <si>
    <t>EP-125</t>
  </si>
  <si>
    <t>Operator Type</t>
  </si>
  <si>
    <t>Car Weight</t>
  </si>
  <si>
    <t xml:space="preserve">EP-150  </t>
  </si>
  <si>
    <t># of Cars in Group</t>
  </si>
  <si>
    <t>HP (per PU)</t>
  </si>
  <si>
    <t>Linear Feet</t>
  </si>
  <si>
    <t xml:space="preserve">EP-170  </t>
  </si>
  <si>
    <t>(Highlighted information is assumed)</t>
  </si>
  <si>
    <t>Actual UP Speed</t>
  </si>
  <si>
    <t xml:space="preserve">EP-190  </t>
  </si>
  <si>
    <t>EP-215</t>
  </si>
  <si>
    <t>Select Power Unit</t>
  </si>
  <si>
    <t xml:space="preserve">EP-230  </t>
  </si>
  <si>
    <t xml:space="preserve">Actual UP </t>
  </si>
  <si>
    <t xml:space="preserve">EP-260  </t>
  </si>
  <si>
    <t>QTY</t>
  </si>
  <si>
    <t>Section</t>
  </si>
  <si>
    <t>Part / Description (Per Unit)</t>
  </si>
  <si>
    <t>Net Price</t>
  </si>
  <si>
    <t xml:space="preserve">Groups </t>
  </si>
  <si>
    <t xml:space="preserve">AP-120  </t>
  </si>
  <si>
    <t>-</t>
  </si>
  <si>
    <t>Section 1:  Sling and Platform</t>
  </si>
  <si>
    <t xml:space="preserve">AP-150 </t>
  </si>
  <si>
    <t>AP-180</t>
  </si>
  <si>
    <t>AP-215</t>
  </si>
  <si>
    <t>AP-240</t>
  </si>
  <si>
    <t>AP-260</t>
  </si>
  <si>
    <t>AP-300</t>
  </si>
  <si>
    <t xml:space="preserve">AP-320 </t>
  </si>
  <si>
    <t>AP-350</t>
  </si>
  <si>
    <t>Car Platform Only</t>
  </si>
  <si>
    <t xml:space="preserve">Class A Loading </t>
  </si>
  <si>
    <t>Balance Weight Frame</t>
  </si>
  <si>
    <t xml:space="preserve">Crosshead </t>
  </si>
  <si>
    <t>Stiles</t>
  </si>
  <si>
    <t>Bolster Channels</t>
  </si>
  <si>
    <t>Rubber Platen for 3S, 4S and 5S</t>
  </si>
  <si>
    <t>Rubber Platen for 6S and 7S</t>
  </si>
  <si>
    <t>Rubber Platen for 12S and 15S</t>
  </si>
  <si>
    <t>Freight Sling and Platform</t>
  </si>
  <si>
    <t>2 piece platform add</t>
  </si>
  <si>
    <t>21" Toe guard</t>
  </si>
  <si>
    <t>Omega Guide Shoes</t>
  </si>
  <si>
    <t>Roller guide cover/guards set</t>
  </si>
  <si>
    <t>4" Car roller guides (set of 4) (spring loaded)</t>
  </si>
  <si>
    <t>Include Balance Weight Frame!</t>
  </si>
  <si>
    <t>Slide Guides for 8 or 15 lb rails</t>
  </si>
  <si>
    <t>Slide Guides for 22.5 lb rails</t>
  </si>
  <si>
    <t>Guide Rail Lubricator</t>
  </si>
  <si>
    <t>Retainer Plates for Seismic (T Rails)</t>
  </si>
  <si>
    <t>Seismic</t>
  </si>
  <si>
    <t>Retainer Plates for Seismic (Omega Rails)</t>
  </si>
  <si>
    <t>Section 12:  Power Unit</t>
  </si>
  <si>
    <t>EP-30 Power Unit (Submersible)</t>
  </si>
  <si>
    <t>EP-40 Power Unit (Submersible)</t>
  </si>
  <si>
    <t>EP-50 Power Unit (Submersible)</t>
  </si>
  <si>
    <t>EP-60 Power Unit (Submersible)</t>
  </si>
  <si>
    <t>EP-70 Power Unit (Submersible)</t>
  </si>
  <si>
    <t>EP-80 Power Unit (Submersible)</t>
  </si>
  <si>
    <t>EP-95 Power Unit (Submersible)</t>
  </si>
  <si>
    <t>EP-105 Power Unit (Submersible)</t>
  </si>
  <si>
    <t>EP-125 Power Unit (Submersible)</t>
  </si>
  <si>
    <t>EP-150 Power Unit (Submersible)</t>
  </si>
  <si>
    <t>EP-170 Power Unit (Submersible)</t>
  </si>
  <si>
    <t>EP-190 Power Unit (Submersible)</t>
  </si>
  <si>
    <t>EP-215 Power Unit (Submersible)</t>
  </si>
  <si>
    <t>EP-230 Power Unit (Submersible)</t>
  </si>
  <si>
    <t>EP-260 Power Unit (Submersible)</t>
  </si>
  <si>
    <t>AP-120 Power Unit (Dry)</t>
  </si>
  <si>
    <t>AP-150 Power Unit (Dry)</t>
  </si>
  <si>
    <t>AP-180 Power Unit (Dry)</t>
  </si>
  <si>
    <t>AP-215 Power Unit (Dry)</t>
  </si>
  <si>
    <t>AP-240 Power Unit (Dry)</t>
  </si>
  <si>
    <t>AP-260 Power Unit (Dry)</t>
  </si>
  <si>
    <t>AP-300 Power Unit (Dry)</t>
  </si>
  <si>
    <t>AP-320 Power Unit (Dry)</t>
  </si>
  <si>
    <t>AP-350 Power Unit (Dry)</t>
  </si>
  <si>
    <t>MP Power Unit  (Dry) 30 and 40 GPM</t>
  </si>
  <si>
    <t>Special Sheaving (from 215 GPM to 180 or 170)</t>
  </si>
  <si>
    <t>Viscosity Control (Required over 150 FPM)</t>
  </si>
  <si>
    <t xml:space="preserve">2" Shutoff Valve Kit </t>
  </si>
  <si>
    <t>3" Shutoff Valve Kit</t>
  </si>
  <si>
    <t>Isolation Couplings</t>
  </si>
  <si>
    <t>Loadweigher Pressure Switch</t>
  </si>
  <si>
    <t>Additional Pipe Stands (three included in base)</t>
  </si>
  <si>
    <t>Protected Vent opening</t>
  </si>
  <si>
    <t>Glass Oil Level sight gauge</t>
  </si>
  <si>
    <t>I-2 Valve Conversion Kit (215 GPM or less)</t>
  </si>
  <si>
    <t>I-3 Valve Conversion Kit (over 215 GPM)</t>
  </si>
  <si>
    <t>Maxton Valve  (Add to power unit price)</t>
  </si>
  <si>
    <t>Seismic Requirements for AP units</t>
  </si>
  <si>
    <t>Seismic Requirements for EP units</t>
  </si>
  <si>
    <t>Overspeed Valve Kits for 2"  (less than 150 GPM)</t>
  </si>
  <si>
    <t>Overspeed Valve Kits for 3"  (over 150 GPM)</t>
  </si>
  <si>
    <t>Oil Cooler (from MEI)</t>
  </si>
  <si>
    <t>Tandem Crossover piping (kit)</t>
  </si>
  <si>
    <t>For Tandem</t>
  </si>
  <si>
    <t>(special options)</t>
  </si>
  <si>
    <t>Section 19:  Hoistway Accessories</t>
  </si>
  <si>
    <t>Controller</t>
  </si>
  <si>
    <t>Final Limit Switch Package (Cam, Switches &amp; mounting material)</t>
  </si>
  <si>
    <t>Close Landing Switch Package</t>
  </si>
  <si>
    <t>Terminal Limit Switch package for Controllers by others</t>
  </si>
  <si>
    <t>Alarm Bell</t>
  </si>
  <si>
    <t>Call Bell (Door Signal Open)</t>
  </si>
  <si>
    <t>Section 5:  Jack</t>
  </si>
  <si>
    <t xml:space="preserve">Twin Post 2-S Jack </t>
  </si>
  <si>
    <t xml:space="preserve">Twin Post 3-S Jack </t>
  </si>
  <si>
    <t>Twin Post Telescoping 2.5T Jack (includes sensors)</t>
  </si>
  <si>
    <t>Twin Post Telescoping 3.0T Jack (includes sensors)</t>
  </si>
  <si>
    <t>HDPE for 3-S Jack with Moisture Sensor (Single Section Only)</t>
  </si>
  <si>
    <t>PVC for 3-S Jack with Moisture Sensor (Complete Enclosed System)</t>
  </si>
  <si>
    <t>HDPE for 4-S Jack with Moisture Sensor (Single Section Only)</t>
  </si>
  <si>
    <t>PVC for 4-S Jack with Moisture Sensor (Complete Enclosed System)</t>
  </si>
  <si>
    <t>HDPE for 5-S Jack with Moisture Sensor (Single Section Only)</t>
  </si>
  <si>
    <t>PVC for 5-S Jack with Moisture Sensor (Complete Enclosed System)</t>
  </si>
  <si>
    <t>HDPE for 6-S Jack with Moisture Sensor (Single Section Only)</t>
  </si>
  <si>
    <t>PVC for 6-S Jack with Moisture Sensor (Complete Enclosed System)</t>
  </si>
  <si>
    <t>HDPE for 7-S Jack with Moisture Sensor (Single Section Only)</t>
  </si>
  <si>
    <t>PVC for 7-S Jack with Moisture Sensor (Complete Enclosed System)</t>
  </si>
  <si>
    <t>HDPE for 8-S Jack with Moisture Sensor (Single Section Only)</t>
  </si>
  <si>
    <t>PVC for 8-S Jack with Moisture Sensor (Complete Enclosed System)</t>
  </si>
  <si>
    <t>HDPE for 9-S Jack with Moisture Sensor (Single Section Only)</t>
  </si>
  <si>
    <t>PVC for 9-S Jack with Moisture Sensor (Complete Enclosed System)</t>
  </si>
  <si>
    <t>HDPE for 10-S Jack with Moisture Sensor (Single Section Only)</t>
  </si>
  <si>
    <t>PVC for 10-S Jack with Moisture Sensor (Complete Enclosed System)</t>
  </si>
  <si>
    <t>HDPE for 12-S Jack with Moisture Sensor (Single Section Only)</t>
  </si>
  <si>
    <t xml:space="preserve">PVC for 12-S Jack with Moisture Sensor (Complete Enclosed System) </t>
  </si>
  <si>
    <t>OD=15.75"</t>
  </si>
  <si>
    <t>HDPE for 15-S Jack with Moisture Sensor (Single Section Only)</t>
  </si>
  <si>
    <t>PVC for 15-S Jack with Moisture Sensor (Complete Enclosed System)</t>
  </si>
  <si>
    <t>Pit Mounting Channels</t>
  </si>
  <si>
    <t>Plunger Only</t>
  </si>
  <si>
    <t>manually calculate</t>
  </si>
  <si>
    <t>70% of list</t>
  </si>
  <si>
    <t>Casing Only</t>
  </si>
  <si>
    <t>52% of list</t>
  </si>
  <si>
    <t>Jack Collar &amp; all required material to mount field supplied PVC</t>
  </si>
  <si>
    <t xml:space="preserve">Moisture Sensor </t>
  </si>
  <si>
    <t>Section 7:  Controller</t>
  </si>
  <si>
    <t xml:space="preserve">Hoistway Access Switch </t>
  </si>
  <si>
    <t>Included</t>
  </si>
  <si>
    <t>Engineered Fire Service Kit for Dover Relay</t>
  </si>
  <si>
    <r>
      <t xml:space="preserve">SSLR (Solid State Replacement Kit)  Simplex 
</t>
    </r>
    <r>
      <rPr>
        <b/>
        <sz val="12"/>
        <rFont val="TKTypeRegular"/>
        <family val="2"/>
      </rPr>
      <t>NOTE:  Complies with 1996 ANSI Code and
up to 2004 Fire Service Code.</t>
    </r>
  </si>
  <si>
    <r>
      <t xml:space="preserve">SSLR (Solid State Replacement Kit)  Duplex
</t>
    </r>
    <r>
      <rPr>
        <b/>
        <sz val="12"/>
        <rFont val="TKTypeRegular"/>
        <family val="2"/>
      </rPr>
      <t>NOTE:  Complies with 1996 ANSI Code and
up 2004 Fire Service Code.</t>
    </r>
  </si>
  <si>
    <t>Generic Fire Service Kits</t>
  </si>
  <si>
    <t>Composite Control Fire Service Board</t>
  </si>
  <si>
    <t>Optional Cabinet for Composite Control Fire Service</t>
  </si>
  <si>
    <t>Viscosity Control for WCR, Solid State and P &amp; B</t>
  </si>
  <si>
    <t xml:space="preserve">Viscosity Control for DMC, LMH and TAC 22 </t>
  </si>
  <si>
    <t>TAC 20 Battery Lowering Kit (Hardware and Software)</t>
  </si>
  <si>
    <t>Section 18:  Hoistway Wiring</t>
  </si>
  <si>
    <t>Hoistway Wiring Package for TAC 22 (includes traveling cable)</t>
  </si>
  <si>
    <t>Section 22:  Car Fixtures</t>
  </si>
  <si>
    <t>Main Car Station  (Total Price)  Includes Options Below</t>
  </si>
  <si>
    <t>Swing Return (TKE Cab only)</t>
  </si>
  <si>
    <t>Add for Beveled edge (for Applied panels)</t>
  </si>
  <si>
    <t>Pan Formed Car Station Faceplate (under 4" returns)</t>
  </si>
  <si>
    <t xml:space="preserve">Door Open rear / Door Close rear </t>
  </si>
  <si>
    <t>Door Hold Open Button</t>
  </si>
  <si>
    <t>Bar Style Button</t>
  </si>
  <si>
    <t>Standard Braille Plates for Car Features</t>
  </si>
  <si>
    <t>Card Reader Override Keyswitch</t>
  </si>
  <si>
    <t>Light Dimmer Switch</t>
  </si>
  <si>
    <t>Keyswitch</t>
  </si>
  <si>
    <t>Seismic Operation Jewel</t>
  </si>
  <si>
    <t>Attendant Service Package (K/S, Up, Down, Bypass)</t>
  </si>
  <si>
    <t>Fire Phone Jack</t>
  </si>
  <si>
    <t>Card Reader Provisions (Space only)</t>
  </si>
  <si>
    <t>Phone Box (Phone by others)</t>
  </si>
  <si>
    <t>Position Indicators (Light Up)</t>
  </si>
  <si>
    <t>Position Indicators (Light Up) VANDAL</t>
  </si>
  <si>
    <t>Massachusetts Medical Fixtures</t>
  </si>
  <si>
    <t>GFI Outlet in COP</t>
  </si>
  <si>
    <t>#8 Stainless Steel Finish</t>
  </si>
  <si>
    <t>#4 Muntz Bronze Finish</t>
  </si>
  <si>
    <t>#8 Muntz Bronze Finish</t>
  </si>
  <si>
    <t>Auxiliary Car Station (Total Price) Includes Options below</t>
  </si>
  <si>
    <t>Full Width Swing Return (TKE Cab only)</t>
  </si>
  <si>
    <t xml:space="preserve">Car Riding Lantern (Standard)  </t>
  </si>
  <si>
    <t>#4 S/S</t>
  </si>
  <si>
    <t>#8 S/S</t>
  </si>
  <si>
    <t>#4 Muntz</t>
  </si>
  <si>
    <t>#8 Muntz</t>
  </si>
  <si>
    <t xml:space="preserve">Car Riding Lantern (Vandal Resistant)  </t>
  </si>
  <si>
    <t>Digital Car Position Indicator (Transom mount)</t>
  </si>
  <si>
    <t>Blank cover plate for old position indicator</t>
  </si>
  <si>
    <t>Hands Free Phone System (Stand alone mounting)</t>
  </si>
  <si>
    <t>CE Driver Board</t>
  </si>
  <si>
    <t>GFI Outlet in cab</t>
  </si>
  <si>
    <t>Section 23:  Hall Fixtures</t>
  </si>
  <si>
    <t>2000 Code</t>
  </si>
  <si>
    <t>Hoistway Jamb Braille (Standard) (# of Floors)</t>
  </si>
  <si>
    <t>Hoistway Jamb Braille (Cast Plates)  (# of Floors)</t>
  </si>
  <si>
    <t>Car Identification Plate for Main Egress Floor (Section 2.29)</t>
  </si>
  <si>
    <t>Star of Life (Emergency Medical Signage)</t>
  </si>
  <si>
    <t>Hall Lantern and Chime</t>
  </si>
  <si>
    <t>Hall Lantern and Chime (Vandal Resistant)</t>
  </si>
  <si>
    <t>Electronic tones (adjustable) for existing lanterns</t>
  </si>
  <si>
    <t>Electronic tones (adjustable) w/ LED's (multi-voltage) for existing lanterns</t>
  </si>
  <si>
    <t>Hall Position Indicator (Digital)</t>
  </si>
  <si>
    <t>Hall Position Indicator (Digital) mounted in Hall Stations</t>
  </si>
  <si>
    <t>enter # of floors</t>
  </si>
  <si>
    <t>Combination Hall Lantern and Digital Hall Position Indicator</t>
  </si>
  <si>
    <t>Surface Mounted Hall Position Indicator (Digital)</t>
  </si>
  <si>
    <t>Surface Mounted Hall Lanterns</t>
  </si>
  <si>
    <t>Surface Mounted Combo (HL and Digital HPI)</t>
  </si>
  <si>
    <t>CE Classic Surface Mounted Hall Lanterns</t>
  </si>
  <si>
    <t>CE Classic Surface Mounted Combo (HL and Digital HPI)</t>
  </si>
  <si>
    <t>Pit Stop Switch</t>
  </si>
  <si>
    <t>Work Light Receptacle for bottom of platform</t>
  </si>
  <si>
    <t>Car Top Inspection Station (Separate from Door Operator)</t>
  </si>
  <si>
    <t>Massachusetts Medical Fixtures in Hall Stations</t>
  </si>
  <si>
    <t>Removable Laminate Panels (Enter number required)</t>
  </si>
  <si>
    <t>Removable #4 S/S Panels (Enter number required)</t>
  </si>
  <si>
    <t>Removable 5WL Panels (Enter number required)</t>
  </si>
  <si>
    <t>Reveal Kit (Laminated)</t>
  </si>
  <si>
    <t>Reveal Kit (Laminated, black)</t>
  </si>
  <si>
    <t>Reveal Kit (#4 Muntz)</t>
  </si>
  <si>
    <t>Reveal Kit (#8 Muntz)</t>
  </si>
  <si>
    <t>Corner Post Applications add</t>
  </si>
  <si>
    <t>Glass Back add</t>
  </si>
  <si>
    <t>Panels:  Plastic Laminated</t>
  </si>
  <si>
    <t xml:space="preserve">Panels:  #4 Muntz </t>
  </si>
  <si>
    <t xml:space="preserve">Panels:  #8 Muntz </t>
  </si>
  <si>
    <t xml:space="preserve">Add for Removable Panels on New TKAP </t>
  </si>
  <si>
    <t>Frieze:  #4 Muntz</t>
  </si>
  <si>
    <t>Frieze: #8 Muntz</t>
  </si>
  <si>
    <t>Reveals:  #4 Muntz</t>
  </si>
  <si>
    <t>Reveals: #8 Muntz</t>
  </si>
  <si>
    <t>Consult factory</t>
  </si>
  <si>
    <t>Ceiling:  Coved Lights (Add for Applied Cab)</t>
  </si>
  <si>
    <t>Fronts:  Add for openings greater than 7'</t>
  </si>
  <si>
    <t>Fronts:  Fixed Return (Applied COP)  (#4 Muntz)</t>
  </si>
  <si>
    <t>Fronts:  Fixed Return (Applied COP)  (#8 Muntz)</t>
  </si>
  <si>
    <t>Fronts:  Swing Returns (#4 Muntz)</t>
  </si>
  <si>
    <t>Fronts:  Swing Returns (#8 Muntz)</t>
  </si>
  <si>
    <t>Handrails (Bar)  1/4" x 2" #4 Muntz</t>
  </si>
  <si>
    <t>Handrails (Bar)  1/4" x 2" #8 Muntz</t>
  </si>
  <si>
    <t>Handrails (Bar)  1/4" x 4" #4 Muntz</t>
  </si>
  <si>
    <t>Handrails (Bar)  1/4" x 4" #8 Muntz</t>
  </si>
  <si>
    <t>Handrails (Bar)  1/4" x 6" #4 Muntz</t>
  </si>
  <si>
    <t>Handrails (Bar)  1/4" x 6" #8 Muntz</t>
  </si>
  <si>
    <t>Handrails (Cylindrical 1 1/2" Continuous) #4 S/S</t>
  </si>
  <si>
    <t>Handrails (Cylindrical 1 1/2" Continuous) #8 S/S</t>
  </si>
  <si>
    <t>Handrails (Cylindrical 1 1/2" Continuous) #4 Muntz</t>
  </si>
  <si>
    <t>Handrails (Cylindrical 1 1/2" Continuous) #8 Muntz</t>
  </si>
  <si>
    <t>Handrails (Oak Plank) 2" x 4"</t>
  </si>
  <si>
    <t>Handrails (Oak Plank) 2" x 6"</t>
  </si>
  <si>
    <t>Handrails (Oak Plank) 2" x 8"</t>
  </si>
  <si>
    <t>Handrails (Oak Plank) 2" x 9"</t>
  </si>
  <si>
    <t>Handrail (Standard Oak-Contoured)</t>
  </si>
  <si>
    <t>Handrail:  Removable Continuous Handrail Oak</t>
  </si>
  <si>
    <t>Base:  Powder Coated</t>
  </si>
  <si>
    <t>Base:  Plastic Laminate</t>
  </si>
  <si>
    <t>Base:  Stainless Steel</t>
  </si>
  <si>
    <t>Base:  Muntz</t>
  </si>
  <si>
    <t>Base:  Black Rubber Coved</t>
  </si>
  <si>
    <t>Modifications for Floor Thickness other than 3/8"</t>
  </si>
  <si>
    <t>Dog House</t>
  </si>
  <si>
    <t>Fan:  Two Speed</t>
  </si>
  <si>
    <t>Battery Back Up Fan (Required with glass back cabs)</t>
  </si>
  <si>
    <t>Fan Grill Chrome</t>
  </si>
  <si>
    <t>Fan Grill Standard</t>
  </si>
  <si>
    <t>Pad Buttons</t>
  </si>
  <si>
    <t>Pad Hooks (for removable panels only)</t>
  </si>
  <si>
    <t>Protective Pads (Set)</t>
  </si>
  <si>
    <t>P/C</t>
  </si>
  <si>
    <t>P/L</t>
  </si>
  <si>
    <t>Solid #4 S/S</t>
  </si>
  <si>
    <t>5WL</t>
  </si>
  <si>
    <t>Binders for Plastic Laminated Doors (single speed)</t>
  </si>
  <si>
    <t>SS / Muntz</t>
  </si>
  <si>
    <t>Binders for Plastic Laminated Doors (2 Speed or CO)</t>
  </si>
  <si>
    <t>Car Header (For existing Dover/TKE integral)</t>
  </si>
  <si>
    <t>Car Top Railing</t>
  </si>
  <si>
    <t>2000 code</t>
  </si>
  <si>
    <t>Section 11:  Freight Enclosure</t>
  </si>
  <si>
    <t>Total New Freight Cab Pricing  (Includes Items listed below)</t>
  </si>
  <si>
    <t>Section 26:  Rails, Buffers and Brackets</t>
  </si>
  <si>
    <t>Pit Ladder</t>
  </si>
  <si>
    <t>Retractable Pit Ladder</t>
  </si>
  <si>
    <t>Section 17:  Door Operator</t>
  </si>
  <si>
    <t>Front Door Special Drive Arm (up to 10' cab ht.)</t>
  </si>
  <si>
    <t>Dual Contact Interlock Box &amp; Associated parts Add</t>
  </si>
  <si>
    <t>Per Opening</t>
  </si>
  <si>
    <t>Rear Door Special Drive Arm (up to 10' cab ht.)</t>
  </si>
  <si>
    <t>Corner Post Add for Door Operator</t>
  </si>
  <si>
    <t>Corner Post</t>
  </si>
  <si>
    <t>Restrictor Clutch for DC68, 73, 85, 86, 91</t>
  </si>
  <si>
    <t>Closer (Reel type)</t>
  </si>
  <si>
    <t>Hanger Assemblies (Set of 4) for Center Opening and 2SSO</t>
  </si>
  <si>
    <t>Hanger Assemblies (Set of 2) for Single Speed</t>
  </si>
  <si>
    <t>Interlock and Pick-up Assemblies for integral door packages with mounting brackets and hardware. Includes closers.</t>
  </si>
  <si>
    <t>Interlock / Pick up Assemblies for existing Dover Operators. Includes closers.</t>
  </si>
  <si>
    <t>Section 4:  Hoistway Entrances</t>
  </si>
  <si>
    <t>Powder Coated</t>
  </si>
  <si>
    <t>Hoistway Door Escutcheon kit</t>
  </si>
  <si>
    <t>Aluminum</t>
  </si>
  <si>
    <t>Nickel Silver</t>
  </si>
  <si>
    <t>Sight Guards (for existing doors, standard size)</t>
  </si>
  <si>
    <t>Dust Covers</t>
  </si>
  <si>
    <t>Strut angles</t>
  </si>
  <si>
    <t>Sill Support Angles</t>
  </si>
  <si>
    <t>Yes</t>
  </si>
  <si>
    <t>No</t>
  </si>
  <si>
    <t>Pit Channels?</t>
  </si>
  <si>
    <t>Section(s)</t>
  </si>
  <si>
    <t>Complete Jacks</t>
  </si>
  <si>
    <t>Total:</t>
  </si>
  <si>
    <t>Plunger</t>
  </si>
  <si>
    <t>Casing</t>
  </si>
  <si>
    <t>Wall Thickness</t>
  </si>
  <si>
    <t>Coupling OD</t>
  </si>
  <si>
    <t>Flange OD</t>
  </si>
  <si>
    <t>Flange</t>
  </si>
  <si>
    <t>Coupling</t>
  </si>
  <si>
    <t>Office:</t>
  </si>
  <si>
    <t>By:</t>
  </si>
  <si>
    <t>Job name:</t>
  </si>
  <si>
    <t>Date:</t>
  </si>
  <si>
    <t>New Jack Data</t>
  </si>
  <si>
    <t>Required Existing Data</t>
  </si>
  <si>
    <t>Jack will be provided in</t>
  </si>
  <si>
    <t>Buffers?</t>
  </si>
  <si>
    <t>LBS.</t>
  </si>
  <si>
    <t>Section Length*</t>
  </si>
  <si>
    <t>*  Approximate dimensions (will be confirmed at time of Order)</t>
  </si>
  <si>
    <t>speed may vary if diameter differs from existing</t>
  </si>
  <si>
    <t>Existing Speed</t>
  </si>
  <si>
    <t>Existing Jack Diameter</t>
  </si>
  <si>
    <t>GPMs</t>
  </si>
  <si>
    <t>FPM</t>
  </si>
  <si>
    <t>Is this an Existing Dover/TKE Jack?</t>
  </si>
  <si>
    <t>Rubber Platen for 8S, 9S and 10S</t>
  </si>
  <si>
    <t>B</t>
  </si>
  <si>
    <t>H</t>
  </si>
  <si>
    <t>J</t>
  </si>
  <si>
    <t>Existing Data</t>
  </si>
  <si>
    <t>Max Gross Load On Jack</t>
  </si>
  <si>
    <t>inches</t>
  </si>
  <si>
    <t>Pit Channel Length</t>
  </si>
  <si>
    <t>Calculated Up Speed based on Jack selection below:</t>
  </si>
  <si>
    <t>Single Conventional Jacks with Single Bearings</t>
  </si>
  <si>
    <t>Calculated Up Speed</t>
  </si>
  <si>
    <t>Top Over Travel*</t>
  </si>
  <si>
    <t>* Standard is 6 inches</t>
  </si>
  <si>
    <t>Required Survey Information for Order</t>
  </si>
  <si>
    <t>Enter # of Sections Required:</t>
  </si>
  <si>
    <t>Bottom Over Travel</t>
  </si>
  <si>
    <t>K</t>
  </si>
  <si>
    <t>L</t>
  </si>
  <si>
    <t>M</t>
  </si>
  <si>
    <t>N</t>
  </si>
  <si>
    <t>O</t>
  </si>
  <si>
    <t>P</t>
  </si>
  <si>
    <t>Ellipsoidial Cylinder Head Thickness:</t>
  </si>
  <si>
    <t>Piston Head Flat Thickness:</t>
  </si>
  <si>
    <t>feet</t>
  </si>
  <si>
    <t>Net Travel</t>
  </si>
  <si>
    <t>Platen Required?</t>
  </si>
  <si>
    <t xml:space="preserve">Purchase Order Number:   </t>
  </si>
  <si>
    <t>Enter Capacity</t>
  </si>
  <si>
    <t>Compatible Jacks And Available Options</t>
  </si>
  <si>
    <t>Ship to Address</t>
  </si>
  <si>
    <t>Existing Jack Plunger/Piston Diameter</t>
  </si>
  <si>
    <t>Plunger/Piston OD</t>
  </si>
  <si>
    <t>Plunger/Piston Thickness</t>
  </si>
  <si>
    <t>Cylinder OD</t>
  </si>
  <si>
    <t>Isolated</t>
  </si>
  <si>
    <t>Buffer Strike Plate (thickness)</t>
  </si>
  <si>
    <t>OvS Casing</t>
  </si>
  <si>
    <t>N/A</t>
  </si>
  <si>
    <t>OVS Coupling</t>
  </si>
  <si>
    <t>4-S Oversized Casing</t>
  </si>
  <si>
    <t>10-S Oversized Casing</t>
  </si>
  <si>
    <t>9-S Oversized Casing</t>
  </si>
  <si>
    <t>8-S Oversized Casing</t>
  </si>
  <si>
    <t>7-S Oversized Casing</t>
  </si>
  <si>
    <t>6-S Oversized Casing</t>
  </si>
  <si>
    <t>5-S Oversized Casing</t>
  </si>
  <si>
    <t>HDPE/PVC Casing</t>
  </si>
  <si>
    <t>OVS HDPE/PVC Casing</t>
  </si>
  <si>
    <t>If you change a highlighted box above after you've selected a jack below, you must re-select the jack to assure the one selected will work with the new data.</t>
  </si>
  <si>
    <t>Warning:</t>
  </si>
  <si>
    <t>Select Your Replacement Jack</t>
  </si>
  <si>
    <t>Jack Casing Protection?</t>
  </si>
  <si>
    <t>OVS PVC Coupling</t>
  </si>
  <si>
    <t>PVC Coupling</t>
  </si>
  <si>
    <t>Plunger Length Calculations</t>
  </si>
  <si>
    <t>Total</t>
  </si>
  <si>
    <t>Top Overtrav</t>
  </si>
  <si>
    <t>Bottom Overtrav</t>
  </si>
  <si>
    <t>TBD</t>
  </si>
  <si>
    <t>TAC 22</t>
  </si>
  <si>
    <t>Single Speed</t>
  </si>
  <si>
    <t>TAC 32</t>
  </si>
  <si>
    <t>Two Speed Side Opening</t>
  </si>
  <si>
    <t>Maximum Working Pressure</t>
  </si>
  <si>
    <t>TAC 32M</t>
  </si>
  <si>
    <t>Center Opening</t>
  </si>
  <si>
    <t>Two Speed Center Opening</t>
  </si>
  <si>
    <t>Freight (Manual)</t>
  </si>
  <si>
    <t xml:space="preserve">Max Pressure </t>
  </si>
  <si>
    <t>Freight (Power)</t>
  </si>
  <si>
    <t>Power Supply</t>
  </si>
  <si>
    <t>Total Per Elevator</t>
  </si>
  <si>
    <t>Total Per Group</t>
  </si>
  <si>
    <t>List</t>
  </si>
  <si>
    <t>Net</t>
  </si>
  <si>
    <t>MU</t>
  </si>
  <si>
    <t>Cost</t>
  </si>
  <si>
    <t>55 gallon drum of Biodegradable oil (Citgo NZ)</t>
  </si>
  <si>
    <t>5 gallon drum of Biodegradable oil (Citgo NZ)</t>
  </si>
  <si>
    <t>55 gallon drum of Biodegradable oil (Enviromax)</t>
  </si>
  <si>
    <t>By Request Only</t>
  </si>
  <si>
    <t>5 gallon drum of Biodegradable oil (Enviromax)</t>
  </si>
  <si>
    <t>Twinpost Oil Line Kit</t>
  </si>
  <si>
    <t>Standard Features can be found on the Controller Features Page</t>
  </si>
  <si>
    <t xml:space="preserve">- 2 Car Group </t>
  </si>
  <si>
    <t>- 2 Position Remote Fire Service Switch</t>
  </si>
  <si>
    <t>- 3-4 Car Group</t>
  </si>
  <si>
    <t>- 48 VDC or 115 VAC fixture voltage</t>
  </si>
  <si>
    <t>- Additional Landings (if over 3 stops)</t>
  </si>
  <si>
    <t>- Air Conditioning with Special Cabinet</t>
  </si>
  <si>
    <t>- ASME 2000 Fire Service or Local Code Fire</t>
  </si>
  <si>
    <t>- Attendant Service Package</t>
  </si>
  <si>
    <t>- Auto Photo Key Cutout</t>
  </si>
  <si>
    <t>- Automatic Fan and Light Shutdown</t>
  </si>
  <si>
    <t>- Battery Lowering in Controller</t>
  </si>
  <si>
    <t>- Canada B44 Code and Hoistway Access</t>
  </si>
  <si>
    <t>- Car Call Lockout (Number of Floors)</t>
  </si>
  <si>
    <t>- Car Homing and Shutdown switch</t>
  </si>
  <si>
    <t>- Car riding lantern and Chime</t>
  </si>
  <si>
    <t>- Car to Lobby Switch</t>
  </si>
  <si>
    <t>- Car Top Inspection Station (TAC32 without HD-04)</t>
  </si>
  <si>
    <t>- Close Landing (between 2" and 24")</t>
  </si>
  <si>
    <t xml:space="preserve">- Code Blue  </t>
  </si>
  <si>
    <t>- Distress Operation</t>
  </si>
  <si>
    <t xml:space="preserve">- Door Hold Open </t>
  </si>
  <si>
    <t>- Earthquake</t>
  </si>
  <si>
    <t>- Emergency Power</t>
  </si>
  <si>
    <t>- Float Switch Software</t>
  </si>
  <si>
    <t>- GAL-MOVFR, MAC PMSCC/104, ECI</t>
  </si>
  <si>
    <t>- Hall Lanterns</t>
  </si>
  <si>
    <t>- Hall Position Indicator (Line per floor)</t>
  </si>
  <si>
    <t>- HD-73/91, DC-62/68, TYPE D, MAC-DC, GAL MOD/MOM/MOH</t>
  </si>
  <si>
    <t>- Hospital Emergency Service</t>
  </si>
  <si>
    <t>- Illuminating Emergency Sign</t>
  </si>
  <si>
    <t>- Inconspicuous Riser</t>
  </si>
  <si>
    <t>- Infant Security Operation</t>
  </si>
  <si>
    <t>- Inspection Switch/Hoistway Enable</t>
  </si>
  <si>
    <t>- Jewel Package</t>
  </si>
  <si>
    <t>- Key Photo Eye Cutout</t>
  </si>
  <si>
    <t>- Loadweigher Bypass and shutdown</t>
  </si>
  <si>
    <t xml:space="preserve">- Manual Freight Doors </t>
  </si>
  <si>
    <t>- Manual Passenger Doors</t>
  </si>
  <si>
    <t>- Massachusetts Medical</t>
  </si>
  <si>
    <t>- NEMA 4 Cabinet</t>
  </si>
  <si>
    <t>- Nudging</t>
  </si>
  <si>
    <t>- Owners Manual</t>
  </si>
  <si>
    <t>- Power Freight Doors:  EMS or Peele</t>
  </si>
  <si>
    <t>- Power Freight Doors:  Gilbert or Courion</t>
  </si>
  <si>
    <t>- Power Freight Doors:  Harris Preble</t>
  </si>
  <si>
    <t>- Power Freight Doors: Haughton</t>
  </si>
  <si>
    <t>- Proprietary Control System</t>
  </si>
  <si>
    <t>- Rear Selective Landings</t>
  </si>
  <si>
    <t>- Rear Staggered Landings</t>
  </si>
  <si>
    <t>- Resynch Operation (Single jack or TKE twin Telescopic)</t>
  </si>
  <si>
    <t>- Reuse existing Starter (no charge)</t>
  </si>
  <si>
    <t>- Reverse Phase Relay</t>
  </si>
  <si>
    <t>- SAPB</t>
  </si>
  <si>
    <t>- Solid State Starters (6 or 12 leads) 208 VAC</t>
  </si>
  <si>
    <t>- Solid State Starters (6 or 12 leads) 230 VAC</t>
  </si>
  <si>
    <t>- Solid State Starters (6 or 12 leads)460 / 575 VAC</t>
  </si>
  <si>
    <t>- SSC (Special Seismic Conditions)</t>
  </si>
  <si>
    <t>- Tandem Power Unit</t>
  </si>
  <si>
    <t>- Tenant Security 3-1 (Card Reader with override switch)</t>
  </si>
  <si>
    <t>- Tenant Security 3-1 (Card Reader)</t>
  </si>
  <si>
    <t>- USA Hoistway Access Switch</t>
  </si>
  <si>
    <t>- Viscosity Control (Required over 150 FPM)</t>
  </si>
  <si>
    <t>- Wiring Diagrams</t>
  </si>
  <si>
    <t>- (Type in special info if required)</t>
  </si>
  <si>
    <r>
      <t xml:space="preserve">Cross Assignment with embedded software (TAC32 only) $1387 net for group 
</t>
    </r>
    <r>
      <rPr>
        <b/>
        <sz val="12"/>
        <rFont val="TKTypeRegular"/>
        <family val="2"/>
      </rPr>
      <t>See note 11 on "Standards" page.</t>
    </r>
  </si>
  <si>
    <t>Impact Selector/Magnet Package</t>
  </si>
  <si>
    <t>VE Controller</t>
  </si>
  <si>
    <t>Reynolds &amp; Reynolds Battery Lowering Kit</t>
  </si>
  <si>
    <r>
      <rPr>
        <b/>
        <sz val="12"/>
        <rFont val="TKTypeRegular"/>
        <family val="2"/>
      </rPr>
      <t xml:space="preserve">TAC 32M Field Friendly Wiring Package: </t>
    </r>
    <r>
      <rPr>
        <sz val="12"/>
        <rFont val="TKTypeRegular"/>
        <family val="2"/>
      </rPr>
      <t xml:space="preserve"> Includes single traveling cable, hoistway wiring, interlock wiring, interlock connectors, and discrete wiring.</t>
    </r>
  </si>
  <si>
    <t>Includes up to 40' of NX</t>
  </si>
  <si>
    <r>
      <rPr>
        <b/>
        <sz val="12"/>
        <rFont val="TKTypeRegular"/>
        <family val="2"/>
      </rPr>
      <t xml:space="preserve">TAC 32 Field Friendly Wiring Package: </t>
    </r>
    <r>
      <rPr>
        <sz val="12"/>
        <rFont val="TKTypeRegular"/>
        <family val="2"/>
      </rPr>
      <t xml:space="preserve"> Includes single traveling cable, hoistway wiring, interlock wiring, interlock connectors, and serial wiring.</t>
    </r>
  </si>
  <si>
    <t xml:space="preserve">HD (Harmonic) Front Door Operator, includes:
- Door Operator
- Drive arm 
- Gate Switch
- Header Assembly
- Tracks and Hangers
- Clutch
 </t>
  </si>
  <si>
    <t>For TKE/Dover Controller (Model chosen at time of order)</t>
  </si>
  <si>
    <t>See Door Operat chart</t>
  </si>
  <si>
    <t xml:space="preserve">HD (Harmonic) Front Door Operator, includes:
- Door Operator
- Drive arm 
- Gate Switch
- Header Assembly
- Tracks and Hangers
- Clutch
</t>
  </si>
  <si>
    <t>For NON-TKE/Dover Controller (Model chosen at time of order) Select Car top inspection station in section 23)</t>
  </si>
  <si>
    <t xml:space="preserve">LD-MOD Linear Door Operator Complete, includes:
- SmartTech 2 control box
- 1/3 HP motor and encoder (Closed Loop operation)
- Interfaces with existing tracks, hangers and clutch
- Available for GAL (MOD,MOM,MOH,MOCT), MAC,
  Westinghouse (BB2,E4,EZ,HY), and Otis (7300,7770)
</t>
  </si>
  <si>
    <t xml:space="preserve">Front Hoistway Door Equipment, includes:
- Tracks &amp; Hangers
- Interlocks &amp; Pickups
- Reel Closers
</t>
  </si>
  <si>
    <t xml:space="preserve">HD (Harmonic) Rear Door Operator, includes:
- Door Operator
- Drive arm 
- Gate Switch
- Header Assembly
- Tracks and Hangers
- Clutch
 </t>
  </si>
  <si>
    <t xml:space="preserve">Rear Hoistway Door Equipment, includes:
- Tracks &amp; Hangers
- Interlocks &amp; Pickups
- Reel Closers
</t>
  </si>
  <si>
    <t>HW Eqp</t>
  </si>
  <si>
    <t>Door Operator</t>
  </si>
  <si>
    <t>F HD Op</t>
  </si>
  <si>
    <t>Micro Light</t>
  </si>
  <si>
    <t>HW Equp</t>
  </si>
  <si>
    <t>Micro Light 3-D</t>
  </si>
  <si>
    <t>R HD Op</t>
  </si>
  <si>
    <t>Micro Light Panachrome 3-D</t>
  </si>
  <si>
    <t>Door Operator Kit:  (New machine, drive arm adapter and mounting plate)</t>
  </si>
  <si>
    <t>HD-LM Door Operator with GAL Adapter Drive Sheave</t>
  </si>
  <si>
    <t>SmartTech II Door Operator Kit 
- New 1/2 HP AC Motor &amp; Board Assembly only</t>
  </si>
  <si>
    <t>Front Car Door and Hatch Side Restrictors (vanes) complete kit</t>
  </si>
  <si>
    <t>Rear Car Door and Hatch Side Restrictors (vanes) complete kit</t>
  </si>
  <si>
    <t>Interlock and Pick-up Assemblies. Includes closers</t>
  </si>
  <si>
    <t>Car Top  Stand Alone Light Kit (10ft Cord)</t>
  </si>
  <si>
    <t>Section 14:  Passenger Cab</t>
  </si>
  <si>
    <t>New Laminate Plastic Cab Pricing (TKLP) (Includes Items listed below)</t>
  </si>
  <si>
    <t>FRONT ONLY</t>
  </si>
  <si>
    <t>- Plastic Laminate walls (wood core walls w/ laminate finish)</t>
  </si>
  <si>
    <t>Doors</t>
  </si>
  <si>
    <t>Finish</t>
  </si>
  <si>
    <t>* Select Finish *</t>
  </si>
  <si>
    <t>See Doors Chart</t>
  </si>
  <si>
    <t>See Sills chart</t>
  </si>
  <si>
    <t>- Pad Buttons</t>
  </si>
  <si>
    <t>#4 S/S 316</t>
  </si>
  <si>
    <t>- Protective Pads (Set)</t>
  </si>
  <si>
    <t>Solid #4 S/S 316</t>
  </si>
  <si>
    <t>New Applied Panel Cab Pricing (TKAP) (Includes Items listed below)</t>
  </si>
  <si>
    <t>#4 Muntz Oxi</t>
  </si>
  <si>
    <t>Sills</t>
  </si>
  <si>
    <t>Muntz</t>
  </si>
  <si>
    <t>See Sills Chart</t>
  </si>
  <si>
    <t>Frames</t>
  </si>
  <si>
    <t>New Steel Shell Cab Pricing (TKS) (Includes Items listed below)</t>
  </si>
  <si>
    <t>FRONT &amp; REAR</t>
  </si>
  <si>
    <t>Reuse Existing Cab Shell (Interior Pricing only) (Includes Items listed below)</t>
  </si>
  <si>
    <t>Interior only</t>
  </si>
  <si>
    <t>Reveal Kit (#4 S/S)</t>
  </si>
  <si>
    <t>Reveal Kit (#8 S/S)</t>
  </si>
  <si>
    <t xml:space="preserve">Steel Shell (14 gauge steel) upgrade </t>
  </si>
  <si>
    <t>TKAP or TKS only</t>
  </si>
  <si>
    <t>#4 S/S Walls add (for Steel Shell Cab)</t>
  </si>
  <si>
    <t>TKS Only</t>
  </si>
  <si>
    <t>#4 S/S 316 grade Walls add (for Steel Shell Cab)</t>
  </si>
  <si>
    <t>5WL Walls add (for Steel Shell Cab)</t>
  </si>
  <si>
    <t>New Cabs only</t>
  </si>
  <si>
    <t>TKAP only</t>
  </si>
  <si>
    <t>Panels:  #4 S/S</t>
  </si>
  <si>
    <t>Panels:  #8 S/S</t>
  </si>
  <si>
    <t>Panels:  #4 S/S 316 grade</t>
  </si>
  <si>
    <t>Panels:  #4 Muntz Oxidized</t>
  </si>
  <si>
    <t>Panels:  Add for Horizontal Panels, 3 sides</t>
  </si>
  <si>
    <t>Panels:  Add for Horizontal Panels, 2 sides</t>
  </si>
  <si>
    <t xml:space="preserve">Panels:  Add for Edged with plastic laminate </t>
  </si>
  <si>
    <t>Panels:  Add for Edged with plastic laminate (color different)</t>
  </si>
  <si>
    <t>Frieze: Powder Coated</t>
  </si>
  <si>
    <t>Frieze: Plastic Laminate</t>
  </si>
  <si>
    <t>Frieze: #4 S/S</t>
  </si>
  <si>
    <t>Frieze: #8 S/S</t>
  </si>
  <si>
    <t>Reveals: Powder Coated</t>
  </si>
  <si>
    <t>Reveals: Plastic Laminate</t>
  </si>
  <si>
    <t>Reveals: #4 S/S</t>
  </si>
  <si>
    <t>Reveals: #8 S/S</t>
  </si>
  <si>
    <t>* Select Ceiling Type *</t>
  </si>
  <si>
    <t>See Ceiling Chart</t>
  </si>
  <si>
    <t>Celing Types</t>
  </si>
  <si>
    <t>Ceiling:  Special Option (TYPE IN HERE)</t>
  </si>
  <si>
    <t>Basic Flat</t>
  </si>
  <si>
    <t>Suspended</t>
  </si>
  <si>
    <t>Disc Light</t>
  </si>
  <si>
    <t>Downlight (Halogen)</t>
  </si>
  <si>
    <t>Downlight (LED)</t>
  </si>
  <si>
    <t>Island Type</t>
  </si>
  <si>
    <t>Perimeter Lights</t>
  </si>
  <si>
    <t>Coved Lights</t>
  </si>
  <si>
    <t>Mor-Lite 2 Bulbs (1'x4')</t>
  </si>
  <si>
    <t>Mor-Lite 4 bulbs (2'x4')</t>
  </si>
  <si>
    <t>BC-1 Center Light</t>
  </si>
  <si>
    <t>Fronts:  Fixed Return (Applied COP)  (#4 S/S)</t>
  </si>
  <si>
    <t>BC-2 Fan Light</t>
  </si>
  <si>
    <t>Fronts:  Fixed Return (Applied COP)  (#8 S/S)</t>
  </si>
  <si>
    <t>Plastic Laminate</t>
  </si>
  <si>
    <t>Fronts:  Swing Returns (#4 S/S)</t>
  </si>
  <si>
    <t>Fronts:  Swing Returns (#8 S/S)</t>
  </si>
  <si>
    <t>Handrails (Bar)  1/4" x 2" #4 S/S</t>
  </si>
  <si>
    <t>Handrails (Bar)  1/4" x 2" #8 S/S</t>
  </si>
  <si>
    <t>Handrails (Bar)  1/4" x 4" #4 S/S</t>
  </si>
  <si>
    <t>Handrails (Bar)  1/4" x 4" #8 S/S</t>
  </si>
  <si>
    <t>Handrails (Bar)  1/4" x 6" #4 S/S</t>
  </si>
  <si>
    <t>Handrails (Bar)  1/4" x 6" #8 S/S</t>
  </si>
  <si>
    <t xml:space="preserve">5 Pin Lock with electric contact for Car Top Exit </t>
  </si>
  <si>
    <t>Fan: Morrison Model SEF 2 -Speed Blower (250-350 CFM)</t>
  </si>
  <si>
    <t>Fan: Morrison Model OE 3 -Speed Blower (300-450 CFM)</t>
  </si>
  <si>
    <t>Fan:  Morrison Model AA 3-Speed Blower (575-1000 CFM)</t>
  </si>
  <si>
    <t>Kickplates #4 S/S</t>
  </si>
  <si>
    <t>Kickplates #8 S/S</t>
  </si>
  <si>
    <t>Kickplates #4 Muntz</t>
  </si>
  <si>
    <t>Kickplates #8 Muntz`</t>
  </si>
  <si>
    <t xml:space="preserve">LD-03 Linear Door Operator Complete, includes:
- 1/3 HP motor and encoder (Closed Loop operation)
- New Header and Transom
- New tracks, hangers and clutch
</t>
  </si>
  <si>
    <t>New TKE Cab
Standard Cab Height</t>
  </si>
  <si>
    <t>Door Operators</t>
  </si>
  <si>
    <t>Car Top Exit Switch</t>
  </si>
  <si>
    <t>Man-D-tec ELS-500 Emergency Light System</t>
  </si>
  <si>
    <t>- Wainscotting</t>
  </si>
  <si>
    <t>- Car Top</t>
  </si>
  <si>
    <t>- Bumpers</t>
  </si>
  <si>
    <t>- Mor-Lite 2 bulbs (1'x4') Painted</t>
  </si>
  <si>
    <t>- Mor-Lite 4 bulbs (2'x4') Painted</t>
  </si>
  <si>
    <t>- Mor-Lite 2 bulbs (1'x4') S/S</t>
  </si>
  <si>
    <t>- Mor-Lite 4 bulbs (2'x4') S/S</t>
  </si>
  <si>
    <t>- TKE Recessed Flourescent light 2 bulbs (1'x4') Painted</t>
  </si>
  <si>
    <t xml:space="preserve">- </t>
  </si>
  <si>
    <t>Car sling &amp; platform w/ front toe guard (w/ Isolation)</t>
  </si>
  <si>
    <t>Up to 5,000 lbs</t>
  </si>
  <si>
    <t>See Sling Platform Chart</t>
  </si>
  <si>
    <t>See Platform Chart</t>
  </si>
  <si>
    <t>Guide shoe mounting plates (set of 4)</t>
  </si>
  <si>
    <t>- Tamperproof Screws</t>
  </si>
  <si>
    <t>- Standard Key Switch Package (Fan, Light, Independent, Stop, and Inspection/Hoistway Enable)</t>
  </si>
  <si>
    <t>- Emergency Light mounted in COP</t>
  </si>
  <si>
    <t>- Prior to 2004 Fire Service Phase II Features (includes engraved instructions)</t>
  </si>
  <si>
    <t>- 2004 and later Fire Service Phase II Features (includes engraved instructions)</t>
  </si>
  <si>
    <t>2004 Code</t>
  </si>
  <si>
    <t>- Handicap Signal (Passing signal)</t>
  </si>
  <si>
    <t xml:space="preserve">- Speaker Pattern for Intercom System/ADA Phone </t>
  </si>
  <si>
    <t>- Locked Service Cabinet</t>
  </si>
  <si>
    <t>- Certificate Window</t>
  </si>
  <si>
    <t>- Special Engraving</t>
  </si>
  <si>
    <t>- GFI Outlet in COP</t>
  </si>
  <si>
    <t>Swing Return (Mini-Swing (Column type) for New/Existing Dover/TKE Cabs)</t>
  </si>
  <si>
    <t>Swing Return (Full Width/Wrap Around Swing Return for New/Existing Dover/TKE Cabs)</t>
  </si>
  <si>
    <t>Swing Return (Match existing to fit NON-Dover/TKE cabs)</t>
  </si>
  <si>
    <t>Add for Pan Formed Car Station Faceplate (under 4" returns)</t>
  </si>
  <si>
    <t>Traditional Floor Buttons(T1)</t>
  </si>
  <si>
    <t>Car Call Cutout Keyswitches (Enter # of floors)</t>
  </si>
  <si>
    <t>Emergency Light test button (constant pressure)</t>
  </si>
  <si>
    <r>
      <rPr>
        <b/>
        <sz val="12"/>
        <rFont val="TKTypeRegular"/>
        <family val="2"/>
      </rPr>
      <t xml:space="preserve">TALK-A-PHONE </t>
    </r>
    <r>
      <rPr>
        <sz val="12"/>
        <rFont val="TKTypeRegular"/>
        <family val="2"/>
      </rPr>
      <t>ADA Phone System integral with COP</t>
    </r>
  </si>
  <si>
    <t>No Smoking (Engraved)</t>
  </si>
  <si>
    <t>"Certificate of Inspection in xxx Office" engraving</t>
  </si>
  <si>
    <r>
      <t xml:space="preserve">12.1" </t>
    </r>
    <r>
      <rPr>
        <sz val="12"/>
        <rFont val="TKTypeRegular"/>
        <family val="2"/>
      </rPr>
      <t>or</t>
    </r>
    <r>
      <rPr>
        <b/>
        <sz val="12"/>
        <rFont val="TKTypeRegular"/>
        <family val="2"/>
      </rPr>
      <t xml:space="preserve"> 15" Touch Screen COP w/ Keypad</t>
    </r>
    <r>
      <rPr>
        <sz val="12"/>
        <rFont val="TKTypeRegular"/>
        <family val="2"/>
      </rPr>
      <t xml:space="preserve"> (no floor buttons)</t>
    </r>
  </si>
  <si>
    <t>Voice Annunciator (mounted in COP) Standard features only, additional costs apply for custom features</t>
  </si>
  <si>
    <t>Voice Annunciator (mounted in COP) for Canada (includes French) Standard features only, additional costs apply for custom features</t>
  </si>
  <si>
    <r>
      <t xml:space="preserve">#4 Stainless Steel </t>
    </r>
    <r>
      <rPr>
        <b/>
        <sz val="12"/>
        <rFont val="TKTypeRegular"/>
        <family val="2"/>
      </rPr>
      <t>316</t>
    </r>
    <r>
      <rPr>
        <sz val="12"/>
        <rFont val="TKTypeRegular"/>
        <family val="2"/>
      </rPr>
      <t xml:space="preserve"> Finish</t>
    </r>
  </si>
  <si>
    <r>
      <t xml:space="preserve">#4 Muntz Bronze </t>
    </r>
    <r>
      <rPr>
        <b/>
        <sz val="12"/>
        <rFont val="TKTypeRegular"/>
        <family val="2"/>
      </rPr>
      <t>Oxidized</t>
    </r>
    <r>
      <rPr>
        <sz val="12"/>
        <rFont val="TKTypeRegular"/>
        <family val="2"/>
      </rPr>
      <t xml:space="preserve"> Finish</t>
    </r>
  </si>
  <si>
    <t>Swing Return (Existing Swing by Others)</t>
  </si>
  <si>
    <t>*Select Finish*</t>
  </si>
  <si>
    <t>* Select Lantern Type *</t>
  </si>
  <si>
    <t>See Lantern Chart</t>
  </si>
  <si>
    <r>
      <rPr>
        <b/>
        <sz val="12"/>
        <rFont val="TKTypeRegular"/>
        <family val="2"/>
      </rPr>
      <t xml:space="preserve">Stand Alone </t>
    </r>
    <r>
      <rPr>
        <sz val="12"/>
        <rFont val="TKTypeRegular"/>
        <family val="2"/>
      </rPr>
      <t>Prior to 2004 Fire Service Phase II Features (includes engraved instructions)</t>
    </r>
  </si>
  <si>
    <r>
      <rPr>
        <b/>
        <sz val="12"/>
        <rFont val="TKTypeRegular"/>
        <family val="2"/>
      </rPr>
      <t>Stand Alone</t>
    </r>
    <r>
      <rPr>
        <sz val="12"/>
        <rFont val="TKTypeRegular"/>
        <family val="2"/>
      </rPr>
      <t xml:space="preserve"> 2004 and later Fire Service Phase II Features (includes engraved instructions)</t>
    </r>
  </si>
  <si>
    <t>Voice Annunciator (Stand Alone mounting) Standard features only, additional costs apply for custom features</t>
  </si>
  <si>
    <t>Voice Annunciator (Stand Alone mounting) for Canada (includes French) Standard features only, additional costs apply for custom features</t>
  </si>
  <si>
    <t>CE Elite PI Microcom Display Unit and Ethernet Hub</t>
  </si>
  <si>
    <t>Hoistway Access Switch (Surface Mounted)</t>
  </si>
  <si>
    <t>* Select Lantern/PI Type *</t>
  </si>
  <si>
    <t>Combination Hall Lantern and Digital Hall Position Indicator Vandal</t>
  </si>
  <si>
    <t>Surface Mounted Hall Lanterns (Vandal)</t>
  </si>
  <si>
    <t>Surface Mounted Combo (HL and Digital HPI) (Vandal)</t>
  </si>
  <si>
    <t>Steel Tape with Mounting hardware, Selector and magnets (terminal limits included)</t>
  </si>
  <si>
    <t>Stainless Steel Tape add for Tape Selector</t>
  </si>
  <si>
    <t>Impact Selecter hardware</t>
  </si>
  <si>
    <t>See Frames Chart</t>
  </si>
  <si>
    <t>Add for Welded and Mitered Frames (Powder Coated)</t>
  </si>
  <si>
    <t>Add for Welded and Mitered Frames (Stainless Steel) 300 Series only</t>
  </si>
  <si>
    <t>See Doors chart</t>
  </si>
  <si>
    <t>Fascia for front openings (per floor add)</t>
  </si>
  <si>
    <t>Fascia for rear openings (per floor add)</t>
  </si>
  <si>
    <t xml:space="preserve">Blind Fascia </t>
  </si>
  <si>
    <t>Headers</t>
  </si>
  <si>
    <t>See Buffer chart</t>
  </si>
  <si>
    <t>Formed Guide Rails w/ required splices (Complete HW Kit)</t>
  </si>
  <si>
    <t>LIST</t>
  </si>
  <si>
    <t>Formed Guide Rails w/ required splices (add a landing(s)) Add'l Travel:</t>
  </si>
  <si>
    <t>Add'l Trav</t>
  </si>
  <si>
    <t>Brackets for formed guide rails (Complete HW Kit)</t>
  </si>
  <si>
    <t>4M</t>
  </si>
  <si>
    <t>6M</t>
  </si>
  <si>
    <t>8M</t>
  </si>
  <si>
    <t>12M</t>
  </si>
  <si>
    <t>18M</t>
  </si>
  <si>
    <t>24M</t>
  </si>
  <si>
    <t>36M</t>
  </si>
  <si>
    <t>48M</t>
  </si>
  <si>
    <t>Brackets for formed guide rails (add a landing(s))         Add'l Travel:</t>
  </si>
  <si>
    <t>SpringBuffers</t>
  </si>
  <si>
    <t>Seismic brackets for formed guide rails (Complete HW Kit)</t>
  </si>
  <si>
    <t>Seismic brackets for formed guide rails (add a landing(s)) Add'l Travel:</t>
  </si>
  <si>
    <t>T Rail Brackets (8 lb rails, side post) Pass. &amp; Class A</t>
  </si>
  <si>
    <t>T Rail Brackets (15 lbs. rails, side post) Pass. &amp; Class A</t>
  </si>
  <si>
    <t>T Rail Brackets (15 lbs. rails, Seismic) Pass. &amp; Class A</t>
  </si>
  <si>
    <t>T Rail Brackets (15 lbs. rails, corner post) Pass. &amp; Class A</t>
  </si>
  <si>
    <t>T Rail Brackets (22.5 lbs. rails, side post) Pass. &amp; Class A</t>
  </si>
  <si>
    <t>T Rail Brackets (22.5 lbs. rails, Seismic) Pass. &amp; Class A</t>
  </si>
  <si>
    <t>T Rail Brackets (22.5 lbs. rails, corner post) Pass. &amp; Class A</t>
  </si>
  <si>
    <t>T Rail Brackets (15 lbs. rails, side post) Class B &amp; C</t>
  </si>
  <si>
    <t>T Rail Brackets (15 lbs. rails, Seismic) Class B &amp; C</t>
  </si>
  <si>
    <t>T Rail Brackets (15 lbs. rails, corner post) Class B &amp; C</t>
  </si>
  <si>
    <t>T Rail Brackets (22.5 lbs. rails, side post) Class B &amp; C</t>
  </si>
  <si>
    <t>T Rail Brackets (22.5 lbs. rails, Seismic) Class B &amp; C</t>
  </si>
  <si>
    <t>T Rail Brackets (22.5 lbs. rails, corner post) Class B &amp; C</t>
  </si>
  <si>
    <t>3-S Jack (Standard Wall) (includes any required joints)</t>
  </si>
  <si>
    <t>OD=3.873"</t>
  </si>
  <si>
    <t>3-S Jack (Heavy Wall) (includes any required joints)</t>
  </si>
  <si>
    <t>4-S Jack (Standard Wall) (includes any required joints)</t>
  </si>
  <si>
    <t>OD=4.36"</t>
  </si>
  <si>
    <t>4-S Jack (Heavy Wall) (includes any required joints)</t>
  </si>
  <si>
    <t>4-S Jack (Extra Heavy Wall) (includes any required joints)</t>
  </si>
  <si>
    <t>5-S Jack (Standard Wall) (includes any required joints)</t>
  </si>
  <si>
    <t>OD=5.425"</t>
  </si>
  <si>
    <t>5-S Jack (Heavy Wall) (includes any required joints)</t>
  </si>
  <si>
    <t>5-S Jack (Extra Heavy Wall) (includes any required joints)</t>
  </si>
  <si>
    <t>6-S Jack (Standard Wall) (includes any required joints)</t>
  </si>
  <si>
    <t>OD=6.485"</t>
  </si>
  <si>
    <t>6-S Jack (Heavy Wall) (includes any required joints)</t>
  </si>
  <si>
    <t>6-S Jack (Extra Heavy Wall) (includes any required joints)</t>
  </si>
  <si>
    <t>7-S Jack (Standard Wall) (includes any required joints)</t>
  </si>
  <si>
    <t>OD=7.488"</t>
  </si>
  <si>
    <t>7-S Jack (Heavy Wall) (includes any required joints)</t>
  </si>
  <si>
    <t>8-S Jack (Standard Wall) (includes any required joints)</t>
  </si>
  <si>
    <t>OD=8.488"</t>
  </si>
  <si>
    <t>9-S Jack (Standard Wall) (includes any required joints)</t>
  </si>
  <si>
    <t>OD=9.488"</t>
  </si>
  <si>
    <t>10-S Jack (Standard Wall) (includes any required joints)</t>
  </si>
  <si>
    <t>OD=10.613"</t>
  </si>
  <si>
    <t>12-S Jack (Standard Wall) (includes any required joints)</t>
  </si>
  <si>
    <t>OD=12.613"</t>
  </si>
  <si>
    <t>15-S Jack (Standard Wall) (includes any required joints)</t>
  </si>
  <si>
    <t>Jack Wrap 3-S</t>
  </si>
  <si>
    <t>Jack Wrap 4-S</t>
  </si>
  <si>
    <t>Jack Wrap 5-S to 6-S</t>
  </si>
  <si>
    <t>Jack Wrap 7-S to 8-S</t>
  </si>
  <si>
    <t>Jack Wrap 9-S to 10-S</t>
  </si>
  <si>
    <t>Jack Wrap 12-S</t>
  </si>
  <si>
    <t>Jack Wrap 15-S</t>
  </si>
  <si>
    <t/>
  </si>
  <si>
    <t>Enter Car Weight</t>
  </si>
  <si>
    <t>(GLOJ = Gross Load on Jack = Capacity + Car Weight)</t>
  </si>
  <si>
    <t>Calculated Gross Load on Jack</t>
  </si>
  <si>
    <t>Down Heavy Speed</t>
  </si>
  <si>
    <t>All Yellow highlighted fields are required for quote and lead time</t>
  </si>
  <si>
    <t>All yellow highlighted fields are required for ordering, Hand written forms cannot be accepted</t>
  </si>
  <si>
    <t>Enter Net Travel (inches)</t>
  </si>
  <si>
    <t>Buffer Stroke**</t>
  </si>
  <si>
    <t>Revision Date</t>
  </si>
  <si>
    <t>Changed By:</t>
  </si>
  <si>
    <t>Description</t>
  </si>
  <si>
    <t>Shea Blankenship</t>
  </si>
  <si>
    <t>Estimating Form: Changed travel to inches instead of feet based on feedback from Contract Engineering. Survey Form: Updated question in cell H38 to say Pit Floor to Top of Buffer Spring". JAXSAFAC: Updated formulas to divide D18 from estimating page by 12 to keep formulas accurate.</t>
  </si>
  <si>
    <t>Patrick Rhodes</t>
  </si>
  <si>
    <t>Plunger/Piston Weight*</t>
  </si>
  <si>
    <t>Estimating Form: Removed lead times. Added note about contacting scheduling.</t>
  </si>
  <si>
    <t>Estimating Form: Fixed total jack length calculation. (Divide by 12)</t>
  </si>
  <si>
    <t>Estimating Form: Fixed plunger/piston weight calculation. (Divide by 12 on each plunger weight formula on the JAXSAFAC tab)</t>
  </si>
  <si>
    <t>Survey Form: Added 5.5" buffer stroke to the drop down.</t>
  </si>
  <si>
    <t>Estimating Form: Changed platen required drop down to "Yes" or "No" answers. Added additional drop down to pick between "Standard" and "Isolated" platens. Hydro group: Changed the formulas so that the platens are priced.</t>
  </si>
  <si>
    <t>Estimating form: Fixed oversized cylinder requirement formula.</t>
  </si>
  <si>
    <t>Jack and pit channels:</t>
  </si>
  <si>
    <t>Buffers:</t>
  </si>
  <si>
    <t>Updated jack list</t>
  </si>
  <si>
    <t>7-S Jack (Extra Heavy Wall) (includes any required joints)</t>
  </si>
  <si>
    <t>Cylinder length</t>
  </si>
  <si>
    <t>Total travel</t>
  </si>
  <si>
    <t>Std. Cyl.</t>
  </si>
  <si>
    <t>OS. Cyl.</t>
  </si>
  <si>
    <t>Cylinder lookup</t>
  </si>
  <si>
    <t>Added EHW jacks to the pricing page.</t>
  </si>
  <si>
    <t>Required</t>
  </si>
  <si>
    <t>Cylinder length*</t>
  </si>
  <si>
    <t>Section length calaculation</t>
  </si>
  <si>
    <t>Max 1 piece</t>
  </si>
  <si>
    <t>Single</t>
  </si>
  <si>
    <t>Plunger length</t>
  </si>
  <si>
    <t>Casing length</t>
  </si>
  <si>
    <t>OT + PA</t>
  </si>
  <si>
    <t>Sections check</t>
  </si>
  <si>
    <t>Sections select</t>
  </si>
  <si>
    <t>Casing select</t>
  </si>
  <si>
    <t>Selection</t>
  </si>
  <si>
    <t>Top overtravel</t>
  </si>
  <si>
    <t>Bottom Overtravel</t>
  </si>
  <si>
    <t>Total Travel</t>
  </si>
  <si>
    <t>Light</t>
  </si>
  <si>
    <t>Heavy</t>
  </si>
  <si>
    <t>PSI</t>
  </si>
  <si>
    <t>Max working pressure</t>
  </si>
  <si>
    <t>Minimum pressure</t>
  </si>
  <si>
    <t>Bottom Runby</t>
  </si>
  <si>
    <t>GLOJ</t>
  </si>
  <si>
    <t>&lt;=150 fpm down</t>
  </si>
  <si>
    <t>151 to 200 fpm down</t>
  </si>
  <si>
    <t>Buffer stroke &lt;150 fpm</t>
  </si>
  <si>
    <t>Buffer stroke 151 to 200 fpm</t>
  </si>
  <si>
    <t>Bolster thickness</t>
  </si>
  <si>
    <t>** Code required based on Down Heavy Speed</t>
  </si>
  <si>
    <t>Dimensions "K" and "L" are estimates.</t>
  </si>
  <si>
    <t>Jack setting = Platform + Bolster + Platen + BOT + C</t>
  </si>
  <si>
    <t>Standard = Total travel + E</t>
  </si>
  <si>
    <t>Oversized = Total Travel + A</t>
  </si>
  <si>
    <t>Jack hole depth calculations (3-E-2)</t>
  </si>
  <si>
    <t>4-S</t>
  </si>
  <si>
    <t>5-S</t>
  </si>
  <si>
    <t>6-S</t>
  </si>
  <si>
    <t>3-S</t>
  </si>
  <si>
    <t>7-S</t>
  </si>
  <si>
    <t>8-S</t>
  </si>
  <si>
    <t>9-S</t>
  </si>
  <si>
    <t>10-S</t>
  </si>
  <si>
    <t>Jack hole depth = Cylinder length + Jack setting + 1'-6" + 3" jack protection</t>
  </si>
  <si>
    <t>Verify existing plunger diameter.</t>
  </si>
  <si>
    <t>8-S Jack (Heavy Wall) (includes any required joints)</t>
  </si>
  <si>
    <t>G</t>
  </si>
  <si>
    <t>F</t>
  </si>
  <si>
    <t>Minimum multi section plunger</t>
  </si>
  <si>
    <t>Max multi section casing length</t>
  </si>
  <si>
    <t>Min multi section casing</t>
  </si>
  <si>
    <t>Max single section casing</t>
  </si>
  <si>
    <t>Max Single section casing</t>
  </si>
  <si>
    <t>Plunger Section length</t>
  </si>
  <si>
    <r>
      <t>Jacks Order Form Pricing</t>
    </r>
    <r>
      <rPr>
        <sz val="12"/>
        <color theme="0"/>
        <rFont val="TKTypeMedium"/>
        <family val="2"/>
      </rPr>
      <t xml:space="preserve"> (Passenger/Class A Loading Only)</t>
    </r>
  </si>
  <si>
    <t>Approximate Max Section Length*</t>
  </si>
  <si>
    <t>SW= Standard Wall, HW = Heavy Wall,                      EHW = Extra Heavy Wall</t>
  </si>
  <si>
    <t>Jacks Order Form Survey</t>
  </si>
  <si>
    <t>Max mult casing</t>
  </si>
  <si>
    <t>Min Multi plunger</t>
  </si>
  <si>
    <t>Min multi section plunger</t>
  </si>
  <si>
    <t>Added approximate max section length.</t>
  </si>
  <si>
    <t>Major changes to survey page.</t>
  </si>
  <si>
    <t>Total + 'PA'</t>
  </si>
  <si>
    <t>Total travel + 'PA' (For plunger weight)</t>
  </si>
  <si>
    <t>Changed safety factor calculation to use only total travel (was total travel + 'PA')</t>
  </si>
  <si>
    <t>PA</t>
  </si>
  <si>
    <t>Reworked formulas for plunger weights after changing the above.</t>
  </si>
  <si>
    <t>Jacks Order Form- Survey</t>
  </si>
  <si>
    <t>Updated color scheme. Edited formula on "Hydro Group" Cell E9 to point to the total travel instead of net travel. Updated discounts to reflect current standards.</t>
  </si>
  <si>
    <t>Passenger/Class A Loading Only, Contact SRT@tkelevator.com if a different Class exists.</t>
  </si>
  <si>
    <t>If your desired jack is not listed, please contact SRT@tkelevator.com</t>
  </si>
  <si>
    <t>Please email scheduling (tkeschedulingparts@tkelevator.com) for all lead times.</t>
  </si>
  <si>
    <t>Send completed Excel form to OrderIntakeMFG@tkelevator.com</t>
  </si>
  <si>
    <t>Updated all email addresses to be @tkelevator.com. Changed the email address on the "Survey Form" tab to be OrderIntakeMFG@tkelevator.com</t>
  </si>
  <si>
    <t>Jack Estimating and Order Form</t>
  </si>
  <si>
    <t>All printed copies of this document are uncontrolled and should be used as reference material only.</t>
  </si>
  <si>
    <t>Renamed doc to "Jack Estimating and Order Form", added uncontrolled doc note, added 5% price increase</t>
  </si>
  <si>
    <t>Updated pricing to reflect the 7.5% price increase announced 3/3/2022</t>
  </si>
  <si>
    <t>Megan Bock</t>
  </si>
  <si>
    <t>Increased pricing for jacks. 3S-6S 25% and 7S-10S 40%. Includes PVC and HDPE increase</t>
  </si>
  <si>
    <t>Version 03142023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</si>
</sst>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41" formatCode="_(* #,##0_);_(* \(#,##0\);_(* &quot;-&quot;_);_(@_)"/>
    <numFmt numFmtId="44" formatCode="_(&quot;$&quot;* #,##0.00_);_(&quot;$&quot;* \(#,##0.00\);_(&quot;$&quot;* &quot;-&quot;??_);_(@_)"/>
    <numFmt numFmtId="43" formatCode="_(* #,##0.00_);_(* \(#,##0.00\);_(* &quot;-&quot;??_);_(@_)"/>
    <numFmt numFmtId="164" formatCode="dd\-mmm\-yy_)"/>
    <numFmt numFmtId="165" formatCode="hh:mm:ss\ AM/PM_)"/>
    <numFmt numFmtId="166" formatCode="0.000_)"/>
    <numFmt numFmtId="167" formatCode="0.00_)"/>
    <numFmt numFmtId="168" formatCode="0_)"/>
    <numFmt numFmtId="169" formatCode=";;;"/>
    <numFmt numFmtId="170" formatCode="&quot;$&quot;#,##0"/>
    <numFmt numFmtId="171" formatCode="0.000"/>
    <numFmt numFmtId="172" formatCode="0_);\(0\)"/>
    <numFmt numFmtId="173" formatCode="#,##0.0_);\(#,##0.0\)"/>
    <numFmt numFmtId="174" formatCode="m/d/yy;@"/>
    <numFmt numFmtId="175" formatCode="_(* #,##0_);_(* \(#,##0\);_(* &quot;-&quot;??_);_(@_)"/>
  </numFmts>
  <fonts count="73">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KTypeRegular"/>
      <family val="2"/>
    </font>
    <font>
      <sz val="12"/>
      <color theme="1"/>
      <name val="TKTypeRegular"/>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KTypeMedium"/>
      <family val="2"/>
    </font>
    <font>
      <sz val="10"/>
      <color indexed="12"/>
      <name val="TKTypeMedium"/>
      <family val="2"/>
    </font>
    <font>
      <sz val="10"/>
      <name val="Courier"/>
      <family val="3"/>
    </font>
    <font>
      <sz val="12"/>
      <name val="TKTypeRegular"/>
      <family val="2"/>
    </font>
    <font>
      <sz val="16"/>
      <name val="TKTypeRegular"/>
      <family val="2"/>
    </font>
    <font>
      <b/>
      <sz val="16"/>
      <color indexed="9"/>
      <name val="TKTypeRegular"/>
      <family val="2"/>
    </font>
    <font>
      <b/>
      <sz val="12"/>
      <name val="TKTypeRegular"/>
      <family val="2"/>
    </font>
    <font>
      <sz val="10"/>
      <name val="Arial"/>
      <family val="2"/>
    </font>
    <font>
      <sz val="10"/>
      <name val="TKTypeRegular"/>
      <family val="2"/>
    </font>
    <font>
      <b/>
      <sz val="8"/>
      <name val="TKTypeRegular"/>
      <family val="2"/>
    </font>
    <font>
      <b/>
      <sz val="12"/>
      <color indexed="10"/>
      <name val="TKTypeRegular"/>
      <family val="2"/>
    </font>
    <font>
      <sz val="10"/>
      <color indexed="10"/>
      <name val="Arial"/>
      <family val="2"/>
    </font>
    <font>
      <i/>
      <sz val="8"/>
      <name val="TKTypeRegular"/>
      <family val="2"/>
    </font>
    <font>
      <i/>
      <sz val="10"/>
      <name val="TKTypeRegular"/>
      <family val="2"/>
    </font>
    <font>
      <sz val="12"/>
      <name val="Arial"/>
      <family val="2"/>
    </font>
    <font>
      <b/>
      <sz val="12"/>
      <color indexed="9"/>
      <name val="TKTypeRegular"/>
      <family val="2"/>
    </font>
    <font>
      <sz val="12"/>
      <color indexed="9"/>
      <name val="TKTypeRegular"/>
      <family val="2"/>
    </font>
    <font>
      <i/>
      <sz val="12"/>
      <name val="TKTypeRegular"/>
      <family val="2"/>
    </font>
    <font>
      <sz val="8"/>
      <name val="TKTypeRegular"/>
      <family val="2"/>
    </font>
    <font>
      <sz val="11"/>
      <name val="TKTypeRegular"/>
      <family val="2"/>
    </font>
    <font>
      <b/>
      <sz val="8"/>
      <color indexed="81"/>
      <name val="Tahoma"/>
      <family val="2"/>
    </font>
    <font>
      <sz val="8"/>
      <color indexed="81"/>
      <name val="Tahoma"/>
      <family val="2"/>
    </font>
    <font>
      <sz val="11"/>
      <color theme="1"/>
      <name val="Calibri"/>
      <family val="2"/>
      <scheme val="minor"/>
    </font>
    <font>
      <b/>
      <sz val="11"/>
      <color rgb="FFFF0000"/>
      <name val="TKTypeRegular"/>
      <family val="2"/>
    </font>
    <font>
      <sz val="12"/>
      <color theme="1"/>
      <name val="TKTypeRegular"/>
      <family val="2"/>
    </font>
    <font>
      <sz val="16"/>
      <color theme="1"/>
      <name val="TKTypeRegular"/>
      <family val="2"/>
    </font>
    <font>
      <sz val="11"/>
      <color theme="1"/>
      <name val="TKTypeRegular"/>
      <family val="2"/>
    </font>
    <font>
      <b/>
      <sz val="12"/>
      <color theme="0"/>
      <name val="TKTypeRegular"/>
      <family val="2"/>
    </font>
    <font>
      <b/>
      <sz val="16"/>
      <color theme="0"/>
      <name val="TKTypeRegular"/>
      <family val="2"/>
    </font>
    <font>
      <b/>
      <sz val="12"/>
      <color rgb="FFFF0000"/>
      <name val="TKTypeRegular"/>
      <family val="2"/>
    </font>
    <font>
      <u/>
      <sz val="10"/>
      <color indexed="12"/>
      <name val="Arial"/>
      <family val="2"/>
    </font>
    <font>
      <sz val="12"/>
      <name val="Arial MT"/>
    </font>
    <font>
      <sz val="10"/>
      <name val="Arial"/>
      <family val="2"/>
    </font>
    <font>
      <sz val="12"/>
      <color theme="0"/>
      <name val="TKTypeRegular"/>
      <family val="2"/>
    </font>
    <font>
      <b/>
      <sz val="16"/>
      <color theme="1"/>
      <name val="TKTypeRegular"/>
      <family val="2"/>
    </font>
    <font>
      <b/>
      <sz val="14"/>
      <name val="TKTypeRegular"/>
      <family val="2"/>
    </font>
    <font>
      <sz val="12"/>
      <color rgb="FFFF0000"/>
      <name val="TKTypeRegular"/>
      <family val="2"/>
    </font>
    <font>
      <sz val="10"/>
      <color theme="1"/>
      <name val="TKTypeRegular"/>
      <family val="2"/>
    </font>
    <font>
      <b/>
      <sz val="10"/>
      <color rgb="FFFF0000"/>
      <name val="TKTypeRegular"/>
      <family val="2"/>
    </font>
    <font>
      <b/>
      <sz val="14"/>
      <color rgb="FFFF0000"/>
      <name val="Calibri"/>
      <family val="2"/>
      <scheme val="minor"/>
    </font>
    <font>
      <b/>
      <sz val="9"/>
      <color indexed="81"/>
      <name val="Tahoma"/>
      <family val="2"/>
    </font>
    <font>
      <b/>
      <sz val="12"/>
      <color theme="3" tint="0.39997558519241921"/>
      <name val="TKTypeRegular"/>
      <family val="2"/>
    </font>
    <font>
      <b/>
      <sz val="12"/>
      <color rgb="FF00B050"/>
      <name val="TKTypeRegular"/>
      <family val="2"/>
    </font>
    <font>
      <sz val="12"/>
      <color theme="0" tint="-4.9989318521683403E-2"/>
      <name val="TKTypeRegular"/>
      <family val="2"/>
    </font>
    <font>
      <sz val="14"/>
      <color theme="1"/>
      <name val="TKTypeMedium"/>
      <family val="2"/>
    </font>
    <font>
      <sz val="12"/>
      <name val="TKTypeMedium"/>
      <family val="2"/>
    </font>
    <font>
      <sz val="12"/>
      <color theme="0"/>
      <name val="TKTypeMedium"/>
      <family val="2"/>
    </font>
    <font>
      <sz val="16"/>
      <color theme="0"/>
      <name val="TKTypeMedium"/>
      <family val="2"/>
    </font>
    <font>
      <sz val="12"/>
      <color rgb="FFE60050"/>
      <name val="TKTypeMedium"/>
      <family val="2"/>
    </font>
    <font>
      <sz val="11"/>
      <color rgb="FFE60050"/>
      <name val="TKTypeMedium"/>
      <family val="2"/>
    </font>
    <font>
      <sz val="12"/>
      <color theme="1"/>
      <name val="TKTypeMedium"/>
      <family val="2"/>
    </font>
    <font>
      <sz val="16"/>
      <name val="TKTypeMedium"/>
      <family val="2"/>
    </font>
    <font>
      <sz val="22"/>
      <color rgb="FF00A0F5"/>
      <name val="TKTypeMedium"/>
      <family val="2"/>
    </font>
    <font>
      <sz val="10"/>
      <color theme="0"/>
      <name val="TKTypeMedium"/>
      <family val="2"/>
    </font>
    <font>
      <sz val="10"/>
      <color rgb="FFE60050"/>
      <name val="TKTypeMedium"/>
      <family val="2"/>
    </font>
    <font>
      <sz val="22"/>
      <color rgb="FF002060"/>
      <name val="TKTypeMedium"/>
      <family val="2"/>
    </font>
    <font>
      <sz val="18"/>
      <color rgb="FF002060"/>
      <name val="TKTypeMedium"/>
      <family val="2"/>
    </font>
    <font>
      <sz val="12"/>
      <color theme="3" tint="0.59999389629810485"/>
      <name val="TKTypeRegular"/>
      <family val="2"/>
    </font>
    <font>
      <sz val="11"/>
      <color theme="0"/>
      <name val="TKTypeMedium"/>
      <family val="2"/>
    </font>
  </fonts>
  <fills count="1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8"/>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12"/>
        <bgColor indexed="64"/>
      </patternFill>
    </fill>
    <fill>
      <patternFill patternType="solid">
        <fgColor rgb="FF00FF00"/>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FF99"/>
        <bgColor indexed="64"/>
      </patternFill>
    </fill>
    <fill>
      <patternFill patternType="solid">
        <fgColor theme="5" tint="0.39997558519241921"/>
        <bgColor indexed="64"/>
      </patternFill>
    </fill>
    <fill>
      <patternFill patternType="solid">
        <fgColor rgb="FF00206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5">
    <xf numFmtId="0" fontId="0" fillId="0" borderId="0"/>
    <xf numFmtId="44" fontId="21" fillId="0" borderId="0" applyFont="0" applyFill="0" applyBorder="0" applyAlignment="0" applyProtection="0"/>
    <xf numFmtId="44" fontId="21" fillId="0" borderId="0" applyFont="0" applyFill="0" applyBorder="0" applyAlignment="0" applyProtection="0"/>
    <xf numFmtId="44" fontId="17" fillId="0" borderId="0" applyFont="0" applyFill="0" applyBorder="0" applyAlignment="0" applyProtection="0"/>
    <xf numFmtId="0" fontId="17" fillId="0" borderId="0"/>
    <xf numFmtId="0" fontId="36" fillId="0" borderId="0"/>
    <xf numFmtId="0" fontId="1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17" fillId="0" borderId="0"/>
    <xf numFmtId="0" fontId="17" fillId="0" borderId="0"/>
    <xf numFmtId="0" fontId="17" fillId="0" borderId="0"/>
    <xf numFmtId="9" fontId="2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4"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17" fillId="0" borderId="0"/>
    <xf numFmtId="0" fontId="17" fillId="0" borderId="0"/>
    <xf numFmtId="0" fontId="17" fillId="0" borderId="0"/>
    <xf numFmtId="0" fontId="17" fillId="0" borderId="0"/>
    <xf numFmtId="0" fontId="12" fillId="0" borderId="0"/>
    <xf numFmtId="0" fontId="17"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46" fillId="0" borderId="0"/>
    <xf numFmtId="9" fontId="17"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6" fillId="0" borderId="0"/>
    <xf numFmtId="0" fontId="6" fillId="0" borderId="0"/>
    <xf numFmtId="0" fontId="6" fillId="0" borderId="0"/>
    <xf numFmtId="0" fontId="6" fillId="0" borderId="0"/>
  </cellStyleXfs>
  <cellXfs count="548">
    <xf numFmtId="0" fontId="0" fillId="0" borderId="0" xfId="0"/>
    <xf numFmtId="0" fontId="14" fillId="0" borderId="0" xfId="0" applyFont="1"/>
    <xf numFmtId="0" fontId="14" fillId="0" borderId="0" xfId="0" applyFont="1" applyAlignment="1">
      <alignment horizontal="left"/>
    </xf>
    <xf numFmtId="0" fontId="14" fillId="0" borderId="0" xfId="0" applyFont="1" applyAlignment="1">
      <alignment horizontal="left" vertical="center"/>
    </xf>
    <xf numFmtId="0" fontId="0" fillId="0" borderId="0" xfId="0" applyAlignment="1">
      <alignment horizontal="left"/>
    </xf>
    <xf numFmtId="166" fontId="0" fillId="0" borderId="0" xfId="0" applyNumberFormat="1"/>
    <xf numFmtId="0" fontId="0" fillId="0" borderId="0" xfId="0" applyAlignment="1">
      <alignment horizontal="right"/>
    </xf>
    <xf numFmtId="0" fontId="14" fillId="0" borderId="0" xfId="0" applyFont="1" applyAlignment="1">
      <alignment vertical="center"/>
    </xf>
    <xf numFmtId="167" fontId="0" fillId="0" borderId="0" xfId="0" applyNumberFormat="1"/>
    <xf numFmtId="168" fontId="0" fillId="0" borderId="0" xfId="0" applyNumberFormat="1"/>
    <xf numFmtId="169" fontId="0" fillId="0" borderId="0" xfId="0" applyNumberFormat="1"/>
    <xf numFmtId="167" fontId="15" fillId="2" borderId="1" xfId="0" applyNumberFormat="1" applyFont="1" applyFill="1" applyBorder="1" applyAlignment="1" applyProtection="1">
      <alignment horizontal="center" vertical="center"/>
      <protection locked="0"/>
    </xf>
    <xf numFmtId="167" fontId="14" fillId="3" borderId="1" xfId="0" applyNumberFormat="1" applyFont="1" applyFill="1" applyBorder="1" applyAlignment="1">
      <alignment horizontal="center" vertical="center"/>
    </xf>
    <xf numFmtId="0" fontId="0" fillId="0" borderId="2" xfId="0" applyBorder="1"/>
    <xf numFmtId="0" fontId="0" fillId="0" borderId="3" xfId="0" applyBorder="1"/>
    <xf numFmtId="0" fontId="15" fillId="0" borderId="0" xfId="0" applyFont="1" applyAlignment="1" applyProtection="1">
      <alignment horizontal="left" vertical="center"/>
      <protection locked="0"/>
    </xf>
    <xf numFmtId="0" fontId="15" fillId="0" borderId="0" xfId="0" applyFont="1" applyAlignment="1" applyProtection="1">
      <alignment vertical="center"/>
      <protection locked="0"/>
    </xf>
    <xf numFmtId="0" fontId="14" fillId="0" borderId="0" xfId="0" applyFont="1" applyAlignment="1">
      <alignment horizontal="right" vertical="center"/>
    </xf>
    <xf numFmtId="0" fontId="15" fillId="0" borderId="0" xfId="0" applyFont="1" applyAlignment="1" applyProtection="1">
      <alignment horizontal="center" vertical="center"/>
      <protection locked="0"/>
    </xf>
    <xf numFmtId="164" fontId="14" fillId="0" borderId="0" xfId="0" applyNumberFormat="1" applyFont="1" applyAlignment="1">
      <alignment vertical="center"/>
    </xf>
    <xf numFmtId="165" fontId="14" fillId="0" borderId="0" xfId="0" applyNumberFormat="1" applyFont="1" applyAlignment="1">
      <alignment vertical="center"/>
    </xf>
    <xf numFmtId="49" fontId="0" fillId="0" borderId="0" xfId="0" applyNumberFormat="1" applyAlignment="1">
      <alignment horizontal="left"/>
    </xf>
    <xf numFmtId="49" fontId="0" fillId="0" borderId="2" xfId="0" applyNumberFormat="1" applyBorder="1" applyAlignment="1">
      <alignment horizontal="left"/>
    </xf>
    <xf numFmtId="49" fontId="16" fillId="0" borderId="0" xfId="0" applyNumberFormat="1" applyFont="1" applyAlignment="1">
      <alignment horizontal="left"/>
    </xf>
    <xf numFmtId="49" fontId="16" fillId="0" borderId="2" xfId="0" applyNumberFormat="1" applyFont="1" applyBorder="1" applyAlignment="1">
      <alignment horizontal="left"/>
    </xf>
    <xf numFmtId="0" fontId="0" fillId="0" borderId="4" xfId="0" applyBorder="1"/>
    <xf numFmtId="0" fontId="0" fillId="0" borderId="5" xfId="0" applyBorder="1"/>
    <xf numFmtId="0" fontId="0" fillId="0" borderId="6" xfId="0" applyBorder="1"/>
    <xf numFmtId="0" fontId="16" fillId="0" borderId="0" xfId="0" applyFont="1"/>
    <xf numFmtId="3" fontId="20" fillId="0" borderId="0" xfId="7" applyNumberFormat="1" applyFont="1" applyAlignment="1">
      <alignment vertical="top" wrapText="1"/>
    </xf>
    <xf numFmtId="0" fontId="17" fillId="0" borderId="0" xfId="7" applyFont="1" applyAlignment="1">
      <alignment vertical="top" wrapText="1"/>
    </xf>
    <xf numFmtId="0" fontId="22" fillId="0" borderId="0" xfId="7" applyFont="1" applyAlignment="1">
      <alignment vertical="top" wrapText="1"/>
    </xf>
    <xf numFmtId="3" fontId="20" fillId="0" borderId="1" xfId="7" applyNumberFormat="1" applyFont="1" applyBorder="1" applyAlignment="1">
      <alignment horizontal="center" vertical="top" wrapText="1"/>
    </xf>
    <xf numFmtId="170" fontId="17" fillId="0" borderId="0" xfId="7" applyNumberFormat="1" applyFont="1" applyAlignment="1">
      <alignment horizontal="center" vertical="top" wrapText="1"/>
    </xf>
    <xf numFmtId="44" fontId="20" fillId="0" borderId="0" xfId="7" applyNumberFormat="1" applyFont="1" applyAlignment="1">
      <alignment horizontal="center" vertical="top" wrapText="1"/>
    </xf>
    <xf numFmtId="0" fontId="17" fillId="0" borderId="0" xfId="7" applyFont="1" applyAlignment="1">
      <alignment horizontal="left" vertical="top"/>
    </xf>
    <xf numFmtId="49" fontId="20" fillId="0" borderId="1" xfId="7" applyNumberFormat="1" applyFont="1" applyBorder="1" applyAlignment="1">
      <alignment horizontal="left" vertical="top" wrapText="1"/>
    </xf>
    <xf numFmtId="3" fontId="17" fillId="0" borderId="0" xfId="7" applyNumberFormat="1" applyFont="1" applyAlignment="1">
      <alignment horizontal="center" vertical="top" wrapText="1"/>
    </xf>
    <xf numFmtId="2" fontId="17" fillId="4" borderId="0" xfId="7" applyNumberFormat="1" applyFont="1" applyFill="1" applyAlignment="1">
      <alignment horizontal="center" vertical="top" wrapText="1"/>
    </xf>
    <xf numFmtId="1" fontId="17" fillId="4" borderId="0" xfId="7" applyNumberFormat="1" applyFont="1" applyFill="1" applyAlignment="1">
      <alignment horizontal="center" vertical="top" wrapText="1"/>
    </xf>
    <xf numFmtId="2" fontId="20" fillId="0" borderId="1" xfId="7" applyNumberFormat="1" applyFont="1" applyBorder="1" applyAlignment="1">
      <alignment horizontal="center" vertical="top"/>
    </xf>
    <xf numFmtId="3" fontId="17" fillId="4" borderId="0" xfId="7" applyNumberFormat="1" applyFont="1" applyFill="1" applyAlignment="1">
      <alignment horizontal="center" vertical="top" wrapText="1"/>
    </xf>
    <xf numFmtId="2" fontId="20" fillId="0" borderId="1" xfId="7" applyNumberFormat="1" applyFont="1" applyBorder="1" applyAlignment="1">
      <alignment horizontal="center" vertical="top" wrapText="1"/>
    </xf>
    <xf numFmtId="0" fontId="17" fillId="0" borderId="0" xfId="7" applyFont="1" applyAlignment="1">
      <alignment vertical="top"/>
    </xf>
    <xf numFmtId="0" fontId="17" fillId="4" borderId="0" xfId="7" applyFont="1" applyFill="1" applyAlignment="1">
      <alignment horizontal="center" vertical="top" wrapText="1"/>
    </xf>
    <xf numFmtId="172" fontId="17" fillId="0" borderId="0" xfId="7" applyNumberFormat="1" applyFont="1" applyAlignment="1">
      <alignment vertical="top" wrapText="1"/>
    </xf>
    <xf numFmtId="3" fontId="22" fillId="0" borderId="0" xfId="7" applyNumberFormat="1" applyFont="1" applyAlignment="1">
      <alignment horizontal="center" vertical="top" wrapText="1"/>
    </xf>
    <xf numFmtId="0" fontId="17" fillId="0" borderId="7" xfId="7" applyFont="1" applyBorder="1" applyAlignment="1">
      <alignment vertical="top" wrapText="1"/>
    </xf>
    <xf numFmtId="1" fontId="17" fillId="0" borderId="0" xfId="7" applyNumberFormat="1" applyFont="1" applyAlignment="1">
      <alignment vertical="top" wrapText="1"/>
    </xf>
    <xf numFmtId="49" fontId="20" fillId="0" borderId="1" xfId="7" applyNumberFormat="1" applyFont="1" applyBorder="1" applyAlignment="1">
      <alignment horizontal="left" vertical="top" shrinkToFit="1"/>
    </xf>
    <xf numFmtId="3" fontId="17" fillId="0" borderId="0" xfId="7" applyNumberFormat="1" applyFont="1" applyAlignment="1">
      <alignment horizontal="right" vertical="top" wrapText="1"/>
    </xf>
    <xf numFmtId="0" fontId="17" fillId="0" borderId="0" xfId="7" applyFont="1" applyAlignment="1">
      <alignment horizontal="center" vertical="top" wrapText="1"/>
    </xf>
    <xf numFmtId="0" fontId="17" fillId="0" borderId="0" xfId="7" applyFont="1" applyAlignment="1">
      <alignment horizontal="center" vertical="top"/>
    </xf>
    <xf numFmtId="0" fontId="26" fillId="0" borderId="0" xfId="7" applyFont="1" applyAlignment="1">
      <alignment horizontal="left" vertical="center" wrapText="1"/>
    </xf>
    <xf numFmtId="3" fontId="27" fillId="0" borderId="0" xfId="7" applyNumberFormat="1" applyFont="1" applyAlignment="1">
      <alignment horizontal="center" vertical="center" wrapText="1"/>
    </xf>
    <xf numFmtId="0" fontId="17" fillId="0" borderId="8" xfId="7" applyFont="1" applyBorder="1" applyAlignment="1">
      <alignment horizontal="center" vertical="top"/>
    </xf>
    <xf numFmtId="0" fontId="20" fillId="0" borderId="0" xfId="7" applyFont="1" applyAlignment="1">
      <alignment horizontal="center" vertical="top" wrapText="1"/>
    </xf>
    <xf numFmtId="170" fontId="22" fillId="0" borderId="0" xfId="7" applyNumberFormat="1" applyFont="1" applyAlignment="1">
      <alignment horizontal="center" vertical="top" wrapText="1"/>
    </xf>
    <xf numFmtId="170" fontId="20" fillId="0" borderId="0" xfId="7" applyNumberFormat="1" applyFont="1" applyAlignment="1">
      <alignment horizontal="center" vertical="top" wrapText="1"/>
    </xf>
    <xf numFmtId="173" fontId="20" fillId="4" borderId="0" xfId="7" applyNumberFormat="1" applyFont="1" applyFill="1" applyAlignment="1">
      <alignment horizontal="center" vertical="top" wrapText="1"/>
    </xf>
    <xf numFmtId="0" fontId="20" fillId="0" borderId="9" xfId="7" applyFont="1" applyBorder="1" applyAlignment="1">
      <alignment horizontal="left" vertical="top" wrapText="1"/>
    </xf>
    <xf numFmtId="0" fontId="17" fillId="0" borderId="9" xfId="7" applyFont="1" applyBorder="1" applyAlignment="1">
      <alignment horizontal="right" vertical="top" wrapText="1"/>
    </xf>
    <xf numFmtId="170" fontId="20" fillId="0" borderId="9" xfId="7" applyNumberFormat="1" applyFont="1" applyBorder="1" applyAlignment="1">
      <alignment horizontal="center" vertical="top" wrapText="1"/>
    </xf>
    <xf numFmtId="0" fontId="20" fillId="0" borderId="0" xfId="7" applyFont="1" applyAlignment="1">
      <alignment vertical="top" wrapText="1"/>
    </xf>
    <xf numFmtId="172" fontId="20" fillId="5" borderId="0" xfId="7" applyNumberFormat="1" applyFont="1" applyFill="1" applyAlignment="1">
      <alignment horizontal="center" vertical="top"/>
    </xf>
    <xf numFmtId="0" fontId="20" fillId="5" borderId="0" xfId="7" applyFont="1" applyFill="1" applyAlignment="1">
      <alignment horizontal="center" vertical="top"/>
    </xf>
    <xf numFmtId="0" fontId="30" fillId="5" borderId="0" xfId="7" applyFont="1" applyFill="1" applyAlignment="1">
      <alignment horizontal="right" vertical="top"/>
    </xf>
    <xf numFmtId="5" fontId="20" fillId="5" borderId="0" xfId="7" applyNumberFormat="1" applyFont="1" applyFill="1" applyAlignment="1">
      <alignment horizontal="center" vertical="top"/>
    </xf>
    <xf numFmtId="170" fontId="20" fillId="6" borderId="7" xfId="7" applyNumberFormat="1" applyFont="1" applyFill="1" applyBorder="1" applyAlignment="1">
      <alignment horizontal="center" vertical="top"/>
    </xf>
    <xf numFmtId="172" fontId="17" fillId="0" borderId="0" xfId="7" applyNumberFormat="1" applyFont="1" applyAlignment="1">
      <alignment horizontal="center" vertical="top"/>
    </xf>
    <xf numFmtId="172" fontId="17" fillId="0" borderId="0" xfId="7" applyNumberFormat="1" applyFont="1" applyAlignment="1">
      <alignment vertical="top"/>
    </xf>
    <xf numFmtId="0" fontId="17" fillId="0" borderId="0" xfId="7" applyFont="1" applyAlignment="1">
      <alignment horizontal="right"/>
    </xf>
    <xf numFmtId="0" fontId="17" fillId="0" borderId="0" xfId="7" applyFont="1" applyAlignment="1">
      <alignment horizontal="left"/>
    </xf>
    <xf numFmtId="0" fontId="17" fillId="0" borderId="0" xfId="7" applyFont="1"/>
    <xf numFmtId="0" fontId="17" fillId="0" borderId="0" xfId="7" applyFont="1" applyAlignment="1">
      <alignment horizontal="right" vertical="top"/>
    </xf>
    <xf numFmtId="0" fontId="32" fillId="0" borderId="0" xfId="7" applyFont="1" applyAlignment="1">
      <alignment horizontal="left"/>
    </xf>
    <xf numFmtId="0" fontId="20" fillId="0" borderId="0" xfId="7" applyFont="1" applyAlignment="1">
      <alignment vertical="top"/>
    </xf>
    <xf numFmtId="5" fontId="17" fillId="0" borderId="0" xfId="7" applyNumberFormat="1" applyFont="1" applyAlignment="1">
      <alignment horizontal="center" vertical="top"/>
    </xf>
    <xf numFmtId="5" fontId="31" fillId="0" borderId="0" xfId="7" applyNumberFormat="1" applyFont="1" applyAlignment="1">
      <alignment horizontal="left" vertical="top"/>
    </xf>
    <xf numFmtId="5" fontId="17" fillId="0" borderId="0" xfId="7" applyNumberFormat="1" applyFont="1" applyAlignment="1">
      <alignment vertical="top"/>
    </xf>
    <xf numFmtId="5" fontId="17" fillId="0" borderId="0" xfId="7" applyNumberFormat="1" applyFont="1"/>
    <xf numFmtId="0" fontId="31" fillId="0" borderId="0" xfId="7" applyFont="1" applyAlignment="1">
      <alignment horizontal="left" vertical="top" wrapText="1" indent="2"/>
    </xf>
    <xf numFmtId="170" fontId="17" fillId="0" borderId="0" xfId="7" applyNumberFormat="1" applyFont="1" applyAlignment="1">
      <alignment vertical="top"/>
    </xf>
    <xf numFmtId="5" fontId="20" fillId="0" borderId="0" xfId="7" applyNumberFormat="1" applyFont="1" applyAlignment="1">
      <alignment horizontal="center" vertical="top"/>
    </xf>
    <xf numFmtId="172" fontId="17" fillId="0" borderId="0" xfId="7" applyNumberFormat="1" applyFont="1" applyAlignment="1">
      <alignment horizontal="center" vertical="top" wrapText="1"/>
    </xf>
    <xf numFmtId="0" fontId="17" fillId="0" borderId="0" xfId="7" applyFont="1" applyAlignment="1">
      <alignment horizontal="right" vertical="top" wrapText="1"/>
    </xf>
    <xf numFmtId="0" fontId="20" fillId="0" borderId="0" xfId="7" applyFont="1"/>
    <xf numFmtId="0" fontId="22" fillId="0" borderId="0" xfId="7" applyFont="1" applyAlignment="1">
      <alignment horizontal="left" vertical="top"/>
    </xf>
    <xf numFmtId="0" fontId="20" fillId="0" borderId="0" xfId="7" applyFont="1" applyAlignment="1">
      <alignment horizontal="center" vertical="top"/>
    </xf>
    <xf numFmtId="172" fontId="17" fillId="5" borderId="0" xfId="7" applyNumberFormat="1" applyFont="1" applyFill="1" applyAlignment="1">
      <alignment horizontal="center" vertical="top"/>
    </xf>
    <xf numFmtId="0" fontId="17" fillId="5" borderId="0" xfId="7" applyFont="1" applyFill="1" applyAlignment="1">
      <alignment horizontal="center" vertical="top"/>
    </xf>
    <xf numFmtId="0" fontId="30" fillId="5" borderId="0" xfId="7" applyFont="1" applyFill="1" applyAlignment="1">
      <alignment horizontal="left"/>
    </xf>
    <xf numFmtId="170" fontId="20" fillId="6" borderId="7" xfId="7" applyNumberFormat="1" applyFont="1" applyFill="1" applyBorder="1" applyAlignment="1">
      <alignment horizontal="center"/>
    </xf>
    <xf numFmtId="0" fontId="33" fillId="0" borderId="0" xfId="7" applyFont="1" applyAlignment="1">
      <alignment horizontal="left" vertical="top"/>
    </xf>
    <xf numFmtId="5" fontId="17" fillId="0" borderId="0" xfId="7" applyNumberFormat="1" applyFont="1" applyAlignment="1">
      <alignment horizontal="center" vertical="top" wrapText="1"/>
    </xf>
    <xf numFmtId="172" fontId="17" fillId="0" borderId="0" xfId="7" applyNumberFormat="1" applyFont="1" applyAlignment="1">
      <alignment horizontal="center" wrapText="1"/>
    </xf>
    <xf numFmtId="1" fontId="17" fillId="10" borderId="0" xfId="7" applyNumberFormat="1" applyFont="1" applyFill="1" applyAlignment="1">
      <alignment horizontal="center" vertical="top" wrapText="1"/>
    </xf>
    <xf numFmtId="1" fontId="17" fillId="0" borderId="0" xfId="7" applyNumberFormat="1" applyFont="1" applyAlignment="1">
      <alignment horizontal="center" vertical="top" wrapText="1"/>
    </xf>
    <xf numFmtId="0" fontId="16" fillId="0" borderId="4" xfId="0" applyFont="1" applyBorder="1"/>
    <xf numFmtId="0" fontId="16" fillId="0" borderId="5" xfId="0" applyFont="1" applyBorder="1"/>
    <xf numFmtId="0" fontId="16" fillId="0" borderId="6" xfId="0" applyFont="1" applyBorder="1"/>
    <xf numFmtId="49" fontId="16" fillId="0" borderId="0" xfId="0" applyNumberFormat="1" applyFont="1"/>
    <xf numFmtId="171" fontId="17" fillId="0" borderId="0" xfId="7" applyNumberFormat="1" applyFont="1" applyAlignment="1">
      <alignment vertical="top" wrapText="1"/>
    </xf>
    <xf numFmtId="171" fontId="17" fillId="0" borderId="0" xfId="7" applyNumberFormat="1" applyFont="1" applyAlignment="1">
      <alignment vertical="top"/>
    </xf>
    <xf numFmtId="49" fontId="17" fillId="0" borderId="0" xfId="7" applyNumberFormat="1" applyFont="1" applyAlignment="1">
      <alignment vertical="top" wrapText="1"/>
    </xf>
    <xf numFmtId="49" fontId="17" fillId="0" borderId="0" xfId="7" applyNumberFormat="1" applyFont="1" applyAlignment="1">
      <alignment vertical="top"/>
    </xf>
    <xf numFmtId="0" fontId="16" fillId="0" borderId="0" xfId="0" applyFont="1" applyAlignment="1">
      <alignment horizontal="left"/>
    </xf>
    <xf numFmtId="0" fontId="17" fillId="0" borderId="10" xfId="5" applyFont="1" applyBorder="1" applyAlignment="1">
      <alignment horizontal="right" vertical="center"/>
    </xf>
    <xf numFmtId="0" fontId="17" fillId="0" borderId="0" xfId="5" applyFont="1" applyAlignment="1">
      <alignment horizontal="right" vertical="center"/>
    </xf>
    <xf numFmtId="0" fontId="37" fillId="0" borderId="0" xfId="5" applyFont="1" applyAlignment="1">
      <alignment horizontal="center" vertical="center" wrapText="1"/>
    </xf>
    <xf numFmtId="49" fontId="17" fillId="0" borderId="0" xfId="5" applyNumberFormat="1" applyFont="1" applyAlignment="1">
      <alignment horizontal="left" vertical="center"/>
    </xf>
    <xf numFmtId="0" fontId="36" fillId="0" borderId="14" xfId="5" applyBorder="1" applyAlignment="1">
      <alignment horizontal="left"/>
    </xf>
    <xf numFmtId="0" fontId="36" fillId="0" borderId="15" xfId="5" applyBorder="1" applyAlignment="1">
      <alignment horizontal="left"/>
    </xf>
    <xf numFmtId="0" fontId="36" fillId="0" borderId="10" xfId="5" applyBorder="1" applyAlignment="1">
      <alignment horizontal="left"/>
    </xf>
    <xf numFmtId="0" fontId="36" fillId="0" borderId="0" xfId="5" applyAlignment="1">
      <alignment horizontal="left"/>
    </xf>
    <xf numFmtId="0" fontId="36" fillId="0" borderId="11" xfId="5" applyBorder="1" applyAlignment="1">
      <alignment horizontal="left"/>
    </xf>
    <xf numFmtId="0" fontId="17" fillId="0" borderId="0" xfId="5" applyFont="1" applyAlignment="1">
      <alignment vertical="center"/>
    </xf>
    <xf numFmtId="0" fontId="17" fillId="0" borderId="11" xfId="5" applyFont="1" applyBorder="1" applyAlignment="1">
      <alignment vertical="center"/>
    </xf>
    <xf numFmtId="170" fontId="17" fillId="0" borderId="0" xfId="5" applyNumberFormat="1" applyFont="1" applyAlignment="1">
      <alignment horizontal="right" vertical="center"/>
    </xf>
    <xf numFmtId="170" fontId="20" fillId="0" borderId="0" xfId="5" applyNumberFormat="1" applyFont="1" applyAlignment="1">
      <alignment vertical="center"/>
    </xf>
    <xf numFmtId="0" fontId="17" fillId="0" borderId="10" xfId="5" applyFont="1" applyBorder="1" applyAlignment="1">
      <alignment vertical="center"/>
    </xf>
    <xf numFmtId="0" fontId="17" fillId="0" borderId="11" xfId="5" applyFont="1" applyBorder="1" applyAlignment="1">
      <alignment horizontal="left" vertical="center"/>
    </xf>
    <xf numFmtId="0" fontId="17" fillId="0" borderId="0" xfId="5" applyFont="1" applyAlignment="1">
      <alignment horizontal="left" vertical="center"/>
    </xf>
    <xf numFmtId="0" fontId="33" fillId="0" borderId="0" xfId="5" applyFont="1" applyAlignment="1">
      <alignment horizontal="left" vertical="center"/>
    </xf>
    <xf numFmtId="0" fontId="17" fillId="0" borderId="10" xfId="5" applyFont="1" applyBorder="1" applyAlignment="1">
      <alignment horizontal="left" vertical="center"/>
    </xf>
    <xf numFmtId="0" fontId="38" fillId="0" borderId="10" xfId="5" applyFont="1" applyBorder="1" applyAlignment="1">
      <alignment horizontal="left" vertical="center"/>
    </xf>
    <xf numFmtId="0" fontId="38" fillId="0" borderId="0" xfId="5" applyFont="1" applyAlignment="1">
      <alignment vertical="center"/>
    </xf>
    <xf numFmtId="0" fontId="38" fillId="0" borderId="11" xfId="5" applyFont="1" applyBorder="1" applyAlignment="1">
      <alignment horizontal="left" vertical="center"/>
    </xf>
    <xf numFmtId="0" fontId="38" fillId="0" borderId="0" xfId="5" applyFont="1" applyAlignment="1">
      <alignment horizontal="left" vertical="center"/>
    </xf>
    <xf numFmtId="0" fontId="40" fillId="0" borderId="11" xfId="5" applyFont="1" applyBorder="1" applyAlignment="1">
      <alignment vertical="center"/>
    </xf>
    <xf numFmtId="0" fontId="40" fillId="0" borderId="0" xfId="5" applyFont="1" applyAlignment="1">
      <alignment vertical="center"/>
    </xf>
    <xf numFmtId="1" fontId="38" fillId="0" borderId="0" xfId="5" applyNumberFormat="1" applyFont="1" applyAlignment="1">
      <alignment horizontal="left" vertical="center"/>
    </xf>
    <xf numFmtId="0" fontId="36" fillId="0" borderId="0" xfId="5" applyAlignment="1">
      <alignment vertical="center"/>
    </xf>
    <xf numFmtId="0" fontId="36" fillId="0" borderId="11" xfId="5" applyBorder="1" applyAlignment="1">
      <alignment vertical="center"/>
    </xf>
    <xf numFmtId="0" fontId="20" fillId="0" borderId="0" xfId="5" applyFont="1" applyAlignment="1">
      <alignment horizontal="left" vertical="center"/>
    </xf>
    <xf numFmtId="0" fontId="38" fillId="0" borderId="0" xfId="5" applyFont="1" applyAlignment="1">
      <alignment horizontal="right" vertical="center"/>
    </xf>
    <xf numFmtId="0" fontId="39" fillId="0" borderId="0" xfId="5" applyFont="1" applyAlignment="1">
      <alignment vertical="center"/>
    </xf>
    <xf numFmtId="0" fontId="38" fillId="0" borderId="10" xfId="5" applyFont="1" applyBorder="1" applyAlignment="1">
      <alignment vertical="center"/>
    </xf>
    <xf numFmtId="0" fontId="38" fillId="0" borderId="11" xfId="5" applyFont="1" applyBorder="1" applyAlignment="1">
      <alignment vertical="center"/>
    </xf>
    <xf numFmtId="41" fontId="17" fillId="0" borderId="0" xfId="20" applyNumberFormat="1" applyFont="1" applyAlignment="1">
      <alignment horizontal="center" vertical="top"/>
    </xf>
    <xf numFmtId="0" fontId="38" fillId="0" borderId="0" xfId="5" applyFont="1" applyAlignment="1">
      <alignment horizontal="center" vertical="center"/>
    </xf>
    <xf numFmtId="2" fontId="38" fillId="0" borderId="0" xfId="5" applyNumberFormat="1" applyFont="1" applyAlignment="1">
      <alignment horizontal="right" vertical="center"/>
    </xf>
    <xf numFmtId="1" fontId="0" fillId="0" borderId="0" xfId="0" applyNumberFormat="1"/>
    <xf numFmtId="0" fontId="18" fillId="0" borderId="10" xfId="5" applyFont="1" applyBorder="1" applyAlignment="1">
      <alignment vertical="center"/>
    </xf>
    <xf numFmtId="0" fontId="18" fillId="0" borderId="0" xfId="5" applyFont="1" applyAlignment="1">
      <alignment vertical="center"/>
    </xf>
    <xf numFmtId="0" fontId="42" fillId="0" borderId="0" xfId="5" applyFont="1" applyAlignment="1">
      <alignment horizontal="center" vertical="center"/>
    </xf>
    <xf numFmtId="0" fontId="18" fillId="0" borderId="11" xfId="5" applyFont="1" applyBorder="1" applyAlignment="1">
      <alignment vertical="center"/>
    </xf>
    <xf numFmtId="0" fontId="38" fillId="0" borderId="9" xfId="5" applyFont="1" applyBorder="1" applyAlignment="1">
      <alignment vertical="center"/>
    </xf>
    <xf numFmtId="171" fontId="38" fillId="0" borderId="0" xfId="5" applyNumberFormat="1" applyFont="1" applyAlignment="1">
      <alignment horizontal="right" vertical="center"/>
    </xf>
    <xf numFmtId="170" fontId="17" fillId="0" borderId="0" xfId="5" applyNumberFormat="1" applyFont="1" applyAlignment="1">
      <alignment vertical="center"/>
    </xf>
    <xf numFmtId="0" fontId="38" fillId="0" borderId="18" xfId="5" applyFont="1" applyBorder="1" applyAlignment="1">
      <alignment vertical="center"/>
    </xf>
    <xf numFmtId="171" fontId="38" fillId="0" borderId="9" xfId="5" applyNumberFormat="1" applyFont="1" applyBorder="1" applyAlignment="1">
      <alignment horizontal="right" vertical="center"/>
    </xf>
    <xf numFmtId="2" fontId="38" fillId="0" borderId="9" xfId="5" applyNumberFormat="1" applyFont="1" applyBorder="1" applyAlignment="1">
      <alignment horizontal="right" vertical="center"/>
    </xf>
    <xf numFmtId="2" fontId="17" fillId="0" borderId="1" xfId="5" applyNumberFormat="1" applyFont="1" applyBorder="1" applyAlignment="1">
      <alignment horizontal="center" vertical="center"/>
    </xf>
    <xf numFmtId="1" fontId="17" fillId="0" borderId="1" xfId="5" applyNumberFormat="1" applyFont="1" applyBorder="1" applyAlignment="1">
      <alignment horizontal="center" vertical="center"/>
    </xf>
    <xf numFmtId="0" fontId="17" fillId="0" borderId="1" xfId="5" applyFont="1" applyBorder="1" applyAlignment="1">
      <alignment horizontal="center" vertical="center"/>
    </xf>
    <xf numFmtId="0" fontId="38" fillId="0" borderId="14" xfId="5" applyFont="1" applyBorder="1" applyAlignment="1">
      <alignment horizontal="left"/>
    </xf>
    <xf numFmtId="0" fontId="38" fillId="0" borderId="15" xfId="5" applyFont="1" applyBorder="1" applyAlignment="1">
      <alignment horizontal="left"/>
    </xf>
    <xf numFmtId="0" fontId="38" fillId="0" borderId="10" xfId="5" applyFont="1" applyBorder="1" applyAlignment="1">
      <alignment horizontal="left"/>
    </xf>
    <xf numFmtId="0" fontId="38" fillId="0" borderId="0" xfId="5" applyFont="1" applyAlignment="1">
      <alignment horizontal="left"/>
    </xf>
    <xf numFmtId="0" fontId="38" fillId="0" borderId="11" xfId="5" applyFont="1" applyBorder="1" applyAlignment="1">
      <alignment horizontal="left"/>
    </xf>
    <xf numFmtId="0" fontId="17" fillId="0" borderId="10" xfId="63" applyFont="1" applyBorder="1"/>
    <xf numFmtId="0" fontId="17" fillId="0" borderId="0" xfId="63" applyFont="1"/>
    <xf numFmtId="0" fontId="17" fillId="0" borderId="11" xfId="63" applyFont="1" applyBorder="1"/>
    <xf numFmtId="0" fontId="47" fillId="0" borderId="10" xfId="5" applyFont="1" applyBorder="1" applyAlignment="1">
      <alignment vertical="center"/>
    </xf>
    <xf numFmtId="0" fontId="47" fillId="0" borderId="0" xfId="5" applyFont="1" applyAlignment="1">
      <alignment vertical="center"/>
    </xf>
    <xf numFmtId="0" fontId="41" fillId="0" borderId="0" xfId="5" applyFont="1" applyAlignment="1">
      <alignment vertical="center"/>
    </xf>
    <xf numFmtId="0" fontId="38" fillId="0" borderId="9" xfId="5" quotePrefix="1" applyFont="1" applyBorder="1" applyAlignment="1">
      <alignment vertical="center"/>
    </xf>
    <xf numFmtId="0" fontId="38" fillId="0" borderId="19" xfId="5" applyFont="1" applyBorder="1" applyAlignment="1">
      <alignment vertical="center"/>
    </xf>
    <xf numFmtId="49" fontId="38" fillId="0" borderId="0" xfId="5" applyNumberFormat="1" applyFont="1" applyAlignment="1">
      <alignment horizontal="left" vertical="center"/>
    </xf>
    <xf numFmtId="1" fontId="38" fillId="0" borderId="1" xfId="5" applyNumberFormat="1" applyFont="1" applyBorder="1" applyAlignment="1">
      <alignment horizontal="center" vertical="center"/>
    </xf>
    <xf numFmtId="0" fontId="38" fillId="0" borderId="1" xfId="5" applyFont="1" applyBorder="1" applyAlignment="1">
      <alignment horizontal="center" vertical="center"/>
    </xf>
    <xf numFmtId="171" fontId="38" fillId="0" borderId="1" xfId="5" applyNumberFormat="1" applyFont="1" applyBorder="1" applyAlignment="1">
      <alignment horizontal="center" vertical="center"/>
    </xf>
    <xf numFmtId="171" fontId="38" fillId="0" borderId="3" xfId="5" applyNumberFormat="1" applyFont="1" applyBorder="1" applyAlignment="1">
      <alignment horizontal="center" vertical="center"/>
    </xf>
    <xf numFmtId="2" fontId="38" fillId="0" borderId="1" xfId="5" applyNumberFormat="1" applyFont="1" applyBorder="1" applyAlignment="1">
      <alignment horizontal="center" vertical="center"/>
    </xf>
    <xf numFmtId="0" fontId="36" fillId="0" borderId="0" xfId="5" applyAlignment="1">
      <alignment horizontal="center" vertical="center"/>
    </xf>
    <xf numFmtId="171" fontId="17" fillId="0" borderId="1" xfId="63" applyNumberFormat="1" applyFont="1" applyBorder="1" applyAlignment="1">
      <alignment horizontal="center"/>
    </xf>
    <xf numFmtId="1" fontId="38" fillId="0" borderId="11" xfId="5" applyNumberFormat="1" applyFont="1" applyBorder="1" applyAlignment="1">
      <alignment horizontal="left" vertical="center"/>
    </xf>
    <xf numFmtId="171" fontId="17" fillId="12" borderId="0" xfId="63" applyNumberFormat="1" applyFont="1" applyFill="1" applyAlignment="1">
      <alignment horizontal="center"/>
    </xf>
    <xf numFmtId="49" fontId="20" fillId="0" borderId="0" xfId="5" applyNumberFormat="1" applyFont="1" applyAlignment="1">
      <alignment horizontal="center" vertical="center" shrinkToFit="1"/>
    </xf>
    <xf numFmtId="174" fontId="17" fillId="0" borderId="2" xfId="5" applyNumberFormat="1" applyFont="1" applyBorder="1" applyAlignment="1">
      <alignment horizontal="left" vertical="center"/>
    </xf>
    <xf numFmtId="0" fontId="48" fillId="0" borderId="0" xfId="5" applyFont="1" applyAlignment="1">
      <alignment horizontal="left" vertical="center"/>
    </xf>
    <xf numFmtId="0" fontId="38" fillId="0" borderId="0" xfId="5" quotePrefix="1" applyFont="1" applyAlignment="1">
      <alignment vertical="center"/>
    </xf>
    <xf numFmtId="0" fontId="38" fillId="0" borderId="14" xfId="5" applyFont="1" applyBorder="1" applyAlignment="1">
      <alignment vertical="center"/>
    </xf>
    <xf numFmtId="0" fontId="17" fillId="0" borderId="10" xfId="5" applyFont="1" applyBorder="1" applyAlignment="1">
      <alignment horizontal="right" vertical="center" shrinkToFit="1"/>
    </xf>
    <xf numFmtId="0" fontId="49" fillId="0" borderId="25" xfId="5" applyFont="1" applyBorder="1" applyAlignment="1">
      <alignment vertical="center"/>
    </xf>
    <xf numFmtId="0" fontId="17" fillId="0" borderId="0" xfId="4"/>
    <xf numFmtId="0" fontId="50" fillId="0" borderId="0" xfId="5" applyFont="1" applyAlignment="1">
      <alignment horizontal="left" vertical="center"/>
    </xf>
    <xf numFmtId="0" fontId="50" fillId="0" borderId="11" xfId="5" applyFont="1" applyBorder="1" applyAlignment="1">
      <alignment horizontal="left" vertical="center"/>
    </xf>
    <xf numFmtId="171" fontId="16" fillId="0" borderId="0" xfId="0" applyNumberFormat="1" applyFont="1" applyAlignment="1">
      <alignment horizontal="center"/>
    </xf>
    <xf numFmtId="171" fontId="0" fillId="0" borderId="0" xfId="0" applyNumberFormat="1" applyAlignment="1">
      <alignment horizontal="center"/>
    </xf>
    <xf numFmtId="0" fontId="0" fillId="0" borderId="0" xfId="0" applyAlignment="1">
      <alignment horizontal="center"/>
    </xf>
    <xf numFmtId="0" fontId="16" fillId="0" borderId="0" xfId="0" applyFont="1" applyAlignment="1">
      <alignment horizontal="right"/>
    </xf>
    <xf numFmtId="0" fontId="17" fillId="0" borderId="0" xfId="7" applyFont="1" applyAlignment="1">
      <alignment horizontal="left" vertical="top" wrapText="1"/>
    </xf>
    <xf numFmtId="0" fontId="20" fillId="0" borderId="0" xfId="7" applyFont="1" applyAlignment="1">
      <alignment horizontal="left" vertical="top" wrapText="1"/>
    </xf>
    <xf numFmtId="3" fontId="20" fillId="0" borderId="0" xfId="7" applyNumberFormat="1" applyFont="1" applyAlignment="1">
      <alignment vertical="top"/>
    </xf>
    <xf numFmtId="0" fontId="17" fillId="13" borderId="0" xfId="7" applyFont="1" applyFill="1" applyAlignment="1">
      <alignment vertical="top" wrapText="1"/>
    </xf>
    <xf numFmtId="3" fontId="20" fillId="0" borderId="1" xfId="7" applyNumberFormat="1" applyFont="1" applyBorder="1" applyAlignment="1">
      <alignment horizontal="center" vertical="top"/>
    </xf>
    <xf numFmtId="41" fontId="17" fillId="0" borderId="0" xfId="20" applyNumberFormat="1" applyFont="1" applyBorder="1" applyAlignment="1">
      <alignment horizontal="center" vertical="top" wrapText="1"/>
    </xf>
    <xf numFmtId="9" fontId="20" fillId="13" borderId="0" xfId="18" applyFont="1" applyFill="1" applyBorder="1" applyAlignment="1">
      <alignment horizontal="center" vertical="top" wrapText="1"/>
    </xf>
    <xf numFmtId="9" fontId="20" fillId="0" borderId="0" xfId="18" applyFont="1" applyFill="1" applyBorder="1" applyAlignment="1">
      <alignment horizontal="center" vertical="top" wrapText="1"/>
    </xf>
    <xf numFmtId="2" fontId="20" fillId="13" borderId="1" xfId="7" applyNumberFormat="1" applyFont="1" applyFill="1" applyBorder="1" applyAlignment="1">
      <alignment horizontal="center" vertical="top"/>
    </xf>
    <xf numFmtId="2" fontId="20" fillId="13" borderId="1" xfId="7" applyNumberFormat="1" applyFont="1" applyFill="1" applyBorder="1" applyAlignment="1">
      <alignment horizontal="center" vertical="top" wrapText="1"/>
    </xf>
    <xf numFmtId="3" fontId="20" fillId="13" borderId="1" xfId="7" applyNumberFormat="1" applyFont="1" applyFill="1" applyBorder="1" applyAlignment="1">
      <alignment horizontal="center" vertical="top"/>
    </xf>
    <xf numFmtId="171" fontId="20" fillId="13" borderId="1" xfId="7" applyNumberFormat="1" applyFont="1" applyFill="1" applyBorder="1" applyAlignment="1">
      <alignment horizontal="left" vertical="top" wrapText="1"/>
    </xf>
    <xf numFmtId="49" fontId="20" fillId="0" borderId="1" xfId="7" applyNumberFormat="1" applyFont="1" applyBorder="1" applyAlignment="1">
      <alignment horizontal="left" vertical="top"/>
    </xf>
    <xf numFmtId="41" fontId="17" fillId="0" borderId="0" xfId="20" applyNumberFormat="1" applyFont="1" applyAlignment="1">
      <alignment horizontal="center" vertical="top" wrapText="1"/>
    </xf>
    <xf numFmtId="1" fontId="17" fillId="0" borderId="0" xfId="7" applyNumberFormat="1" applyFont="1" applyAlignment="1">
      <alignment vertical="top"/>
    </xf>
    <xf numFmtId="3" fontId="20" fillId="13" borderId="1" xfId="7" applyNumberFormat="1" applyFont="1" applyFill="1" applyBorder="1" applyAlignment="1">
      <alignment horizontal="left" vertical="top" wrapText="1"/>
    </xf>
    <xf numFmtId="3" fontId="20" fillId="13" borderId="1" xfId="7" applyNumberFormat="1" applyFont="1" applyFill="1" applyBorder="1" applyAlignment="1">
      <alignment horizontal="center" vertical="top" wrapText="1"/>
    </xf>
    <xf numFmtId="0" fontId="17" fillId="13" borderId="0" xfId="7" applyFont="1" applyFill="1" applyAlignment="1">
      <alignment horizontal="center" vertical="top" wrapText="1"/>
    </xf>
    <xf numFmtId="41" fontId="17" fillId="0" borderId="7" xfId="20" applyNumberFormat="1" applyFont="1" applyBorder="1" applyAlignment="1">
      <alignment horizontal="center" vertical="top" wrapText="1"/>
    </xf>
    <xf numFmtId="44" fontId="22" fillId="13" borderId="0" xfId="7" applyNumberFormat="1" applyFont="1" applyFill="1" applyAlignment="1">
      <alignment horizontal="center" vertical="top" wrapText="1"/>
    </xf>
    <xf numFmtId="1" fontId="17" fillId="13" borderId="0" xfId="7" applyNumberFormat="1" applyFont="1" applyFill="1" applyAlignment="1">
      <alignment horizontal="center" vertical="top" wrapText="1"/>
    </xf>
    <xf numFmtId="0" fontId="20" fillId="0" borderId="24" xfId="7" applyFont="1" applyBorder="1" applyAlignment="1">
      <alignment horizontal="right" vertical="top" indent="1"/>
    </xf>
    <xf numFmtId="170" fontId="20" fillId="13" borderId="7" xfId="7" applyNumberFormat="1" applyFont="1" applyFill="1" applyBorder="1" applyAlignment="1">
      <alignment horizontal="center" vertical="top"/>
    </xf>
    <xf numFmtId="49" fontId="20" fillId="0" borderId="0" xfId="7" applyNumberFormat="1" applyFont="1" applyAlignment="1">
      <alignment horizontal="right" vertical="top" indent="1"/>
    </xf>
    <xf numFmtId="41" fontId="20" fillId="0" borderId="0" xfId="20" applyNumberFormat="1" applyFont="1" applyBorder="1" applyAlignment="1">
      <alignment horizontal="center" vertical="top" wrapText="1"/>
    </xf>
    <xf numFmtId="0" fontId="29" fillId="5" borderId="0" xfId="7" applyFont="1" applyFill="1" applyAlignment="1">
      <alignment horizontal="left" vertical="top"/>
    </xf>
    <xf numFmtId="0" fontId="17" fillId="0" borderId="10" xfId="7" applyFont="1" applyBorder="1" applyAlignment="1">
      <alignment vertical="top"/>
    </xf>
    <xf numFmtId="41" fontId="17" fillId="0" borderId="0" xfId="20" applyNumberFormat="1" applyFont="1" applyBorder="1" applyAlignment="1">
      <alignment horizontal="center" vertical="top"/>
    </xf>
    <xf numFmtId="5" fontId="17" fillId="0" borderId="0" xfId="20" applyNumberFormat="1" applyFont="1" applyAlignment="1">
      <alignment horizontal="center" vertical="top"/>
    </xf>
    <xf numFmtId="37" fontId="17" fillId="0" borderId="0" xfId="20" applyNumberFormat="1" applyFont="1" applyFill="1" applyAlignment="1">
      <alignment horizontal="center" vertical="top"/>
    </xf>
    <xf numFmtId="175" fontId="17" fillId="0" borderId="0" xfId="7" applyNumberFormat="1" applyFont="1" applyAlignment="1">
      <alignment vertical="top"/>
    </xf>
    <xf numFmtId="41" fontId="17" fillId="14" borderId="0" xfId="20" applyNumberFormat="1" applyFont="1" applyFill="1" applyAlignment="1">
      <alignment horizontal="center" vertical="top"/>
    </xf>
    <xf numFmtId="44" fontId="17" fillId="0" borderId="0" xfId="20" applyFont="1" applyAlignment="1">
      <alignment vertical="top"/>
    </xf>
    <xf numFmtId="41" fontId="20" fillId="14" borderId="0" xfId="20" applyNumberFormat="1" applyFont="1" applyFill="1" applyAlignment="1">
      <alignment horizontal="center" vertical="top"/>
    </xf>
    <xf numFmtId="49" fontId="20" fillId="0" borderId="0" xfId="7" applyNumberFormat="1" applyFont="1" applyAlignment="1">
      <alignment horizontal="left" vertical="top"/>
    </xf>
    <xf numFmtId="5" fontId="20" fillId="0" borderId="0" xfId="20" applyNumberFormat="1" applyFont="1" applyAlignment="1">
      <alignment horizontal="center" vertical="top"/>
    </xf>
    <xf numFmtId="170" fontId="17" fillId="0" borderId="0" xfId="20" applyNumberFormat="1" applyFont="1" applyAlignment="1">
      <alignment horizontal="center" vertical="top"/>
    </xf>
    <xf numFmtId="172" fontId="17" fillId="13" borderId="0" xfId="20" applyNumberFormat="1" applyFont="1" applyFill="1" applyBorder="1" applyAlignment="1">
      <alignment horizontal="center" vertical="top"/>
    </xf>
    <xf numFmtId="49" fontId="17" fillId="0" borderId="0" xfId="7" applyNumberFormat="1" applyFont="1" applyAlignment="1">
      <alignment horizontal="left" vertical="top"/>
    </xf>
    <xf numFmtId="172" fontId="17" fillId="14" borderId="0" xfId="20" applyNumberFormat="1" applyFont="1" applyFill="1" applyAlignment="1">
      <alignment horizontal="right" vertical="top"/>
    </xf>
    <xf numFmtId="41" fontId="17" fillId="14" borderId="0" xfId="1" applyNumberFormat="1" applyFont="1" applyFill="1" applyAlignment="1">
      <alignment horizontal="center" vertical="top"/>
    </xf>
    <xf numFmtId="5" fontId="17" fillId="0" borderId="0" xfId="20" applyNumberFormat="1" applyFont="1" applyBorder="1" applyAlignment="1">
      <alignment horizontal="center"/>
    </xf>
    <xf numFmtId="0" fontId="20" fillId="0" borderId="0" xfId="7" applyFont="1" applyAlignment="1">
      <alignment horizontal="left" vertical="top"/>
    </xf>
    <xf numFmtId="172" fontId="17" fillId="13" borderId="0" xfId="7" applyNumberFormat="1" applyFont="1" applyFill="1" applyAlignment="1">
      <alignment horizontal="center" vertical="top"/>
    </xf>
    <xf numFmtId="5" fontId="17" fillId="0" borderId="0" xfId="1" applyNumberFormat="1" applyFont="1" applyAlignment="1">
      <alignment horizontal="center"/>
    </xf>
    <xf numFmtId="170" fontId="17" fillId="0" borderId="0" xfId="1" applyNumberFormat="1" applyFont="1" applyAlignment="1">
      <alignment horizontal="center"/>
    </xf>
    <xf numFmtId="41" fontId="17" fillId="14" borderId="0" xfId="1" applyNumberFormat="1" applyFont="1" applyFill="1" applyAlignment="1">
      <alignment horizontal="center"/>
    </xf>
    <xf numFmtId="0" fontId="30" fillId="5" borderId="0" xfId="7" applyFont="1" applyFill="1" applyAlignment="1">
      <alignment horizontal="center" vertical="top"/>
    </xf>
    <xf numFmtId="5" fontId="30" fillId="5" borderId="0" xfId="1" applyNumberFormat="1" applyFont="1" applyFill="1" applyAlignment="1">
      <alignment horizontal="center" vertical="top"/>
    </xf>
    <xf numFmtId="41" fontId="17" fillId="0" borderId="0" xfId="1" applyNumberFormat="1" applyFont="1" applyAlignment="1">
      <alignment horizontal="center" vertical="top"/>
    </xf>
    <xf numFmtId="49" fontId="17" fillId="0" borderId="0" xfId="7" applyNumberFormat="1" applyFont="1" applyAlignment="1">
      <alignment horizontal="center" vertical="top" wrapText="1"/>
    </xf>
    <xf numFmtId="5" fontId="17" fillId="0" borderId="0" xfId="1" applyNumberFormat="1" applyFont="1" applyFill="1" applyAlignment="1">
      <alignment horizontal="center" vertical="top"/>
    </xf>
    <xf numFmtId="0" fontId="55" fillId="0" borderId="0" xfId="7" applyFont="1" applyAlignment="1">
      <alignment horizontal="left" vertical="top" wrapText="1"/>
    </xf>
    <xf numFmtId="0" fontId="17" fillId="0" borderId="0" xfId="7" applyFont="1" applyAlignment="1">
      <alignment vertical="top" wrapText="1" shrinkToFit="1"/>
    </xf>
    <xf numFmtId="41" fontId="17" fillId="0" borderId="0" xfId="1" applyNumberFormat="1" applyFont="1" applyFill="1" applyAlignment="1">
      <alignment horizontal="center" vertical="top"/>
    </xf>
    <xf numFmtId="0" fontId="56" fillId="0" borderId="0" xfId="7" applyFont="1" applyAlignment="1">
      <alignment horizontal="left" vertical="top" wrapText="1"/>
    </xf>
    <xf numFmtId="0" fontId="17" fillId="14" borderId="0" xfId="7" applyFont="1" applyFill="1" applyAlignment="1">
      <alignment vertical="top"/>
    </xf>
    <xf numFmtId="0" fontId="17" fillId="15" borderId="0" xfId="7" applyFont="1" applyFill="1" applyAlignment="1">
      <alignment vertical="top"/>
    </xf>
    <xf numFmtId="41" fontId="20" fillId="14" borderId="0" xfId="1" applyNumberFormat="1" applyFont="1" applyFill="1" applyAlignment="1">
      <alignment horizontal="center" vertical="top"/>
    </xf>
    <xf numFmtId="41" fontId="20" fillId="0" borderId="0" xfId="1" applyNumberFormat="1" applyFont="1" applyFill="1" applyAlignment="1">
      <alignment horizontal="center" vertical="top"/>
    </xf>
    <xf numFmtId="44" fontId="17" fillId="0" borderId="0" xfId="1" applyFont="1" applyAlignment="1">
      <alignment vertical="top"/>
    </xf>
    <xf numFmtId="5" fontId="30" fillId="5" borderId="0" xfId="1" applyNumberFormat="1" applyFont="1" applyFill="1" applyBorder="1" applyAlignment="1">
      <alignment horizontal="center" vertical="top"/>
    </xf>
    <xf numFmtId="5" fontId="20" fillId="0" borderId="0" xfId="1" applyNumberFormat="1" applyFont="1" applyAlignment="1">
      <alignment horizontal="center" vertical="top"/>
    </xf>
    <xf numFmtId="170" fontId="17" fillId="0" borderId="0" xfId="1" applyNumberFormat="1" applyFont="1" applyAlignment="1">
      <alignment horizontal="center" vertical="top"/>
    </xf>
    <xf numFmtId="0" fontId="17" fillId="13" borderId="0" xfId="1" applyNumberFormat="1" applyFont="1" applyFill="1" applyBorder="1" applyAlignment="1">
      <alignment horizontal="center" vertical="top"/>
    </xf>
    <xf numFmtId="170" fontId="17" fillId="0" borderId="0" xfId="1" applyNumberFormat="1" applyFont="1" applyFill="1" applyAlignment="1">
      <alignment horizontal="center" vertical="top"/>
    </xf>
    <xf numFmtId="0" fontId="17" fillId="13" borderId="0" xfId="7" applyFont="1" applyFill="1" applyAlignment="1">
      <alignment horizontal="center" vertical="top"/>
    </xf>
    <xf numFmtId="0" fontId="17" fillId="0" borderId="0" xfId="7" applyFont="1" applyAlignment="1">
      <alignment horizontal="left" vertical="top" shrinkToFit="1"/>
    </xf>
    <xf numFmtId="1" fontId="17" fillId="14" borderId="0" xfId="7" applyNumberFormat="1" applyFont="1" applyFill="1"/>
    <xf numFmtId="0" fontId="17" fillId="14" borderId="0" xfId="7" applyFont="1" applyFill="1"/>
    <xf numFmtId="0" fontId="57" fillId="13" borderId="0" xfId="7" applyFont="1" applyFill="1" applyAlignment="1">
      <alignment horizontal="center" vertical="top"/>
    </xf>
    <xf numFmtId="0" fontId="17" fillId="16" borderId="0" xfId="7" applyFont="1" applyFill="1" applyAlignment="1">
      <alignment horizontal="left" vertical="top"/>
    </xf>
    <xf numFmtId="170" fontId="17" fillId="0" borderId="0" xfId="20" applyNumberFormat="1" applyFont="1" applyAlignment="1">
      <alignment horizontal="center"/>
    </xf>
    <xf numFmtId="41" fontId="17" fillId="0" borderId="0" xfId="20" applyNumberFormat="1" applyFont="1" applyAlignment="1">
      <alignment horizontal="center"/>
    </xf>
    <xf numFmtId="175" fontId="17" fillId="0" borderId="0" xfId="7" applyNumberFormat="1" applyFont="1"/>
    <xf numFmtId="0" fontId="20" fillId="0" borderId="1" xfId="7" applyFont="1" applyBorder="1" applyAlignment="1">
      <alignment shrinkToFit="1"/>
    </xf>
    <xf numFmtId="0" fontId="47" fillId="13" borderId="0" xfId="7" applyFont="1" applyFill="1" applyAlignment="1">
      <alignment vertical="top"/>
    </xf>
    <xf numFmtId="0" fontId="20" fillId="0" borderId="1" xfId="7" applyFont="1" applyBorder="1"/>
    <xf numFmtId="41" fontId="17" fillId="14" borderId="0" xfId="20" applyNumberFormat="1" applyFont="1" applyFill="1" applyAlignment="1">
      <alignment horizontal="center"/>
    </xf>
    <xf numFmtId="41" fontId="17" fillId="0" borderId="0" xfId="20" applyNumberFormat="1" applyFont="1" applyFill="1" applyAlignment="1">
      <alignment vertical="top"/>
    </xf>
    <xf numFmtId="41" fontId="17" fillId="14" borderId="0" xfId="1" applyNumberFormat="1" applyFont="1" applyFill="1" applyAlignment="1">
      <alignment horizontal="center" vertical="top" wrapText="1"/>
    </xf>
    <xf numFmtId="44" fontId="17" fillId="0" borderId="0" xfId="20" applyFont="1" applyAlignment="1">
      <alignment vertical="top" wrapText="1"/>
    </xf>
    <xf numFmtId="5" fontId="17" fillId="0" borderId="0" xfId="20" applyNumberFormat="1" applyFont="1" applyBorder="1" applyAlignment="1">
      <alignment horizontal="center" vertical="top" wrapText="1"/>
    </xf>
    <xf numFmtId="5" fontId="17" fillId="5" borderId="0" xfId="20" applyNumberFormat="1" applyFont="1" applyFill="1" applyAlignment="1">
      <alignment horizontal="center"/>
    </xf>
    <xf numFmtId="5" fontId="20" fillId="0" borderId="0" xfId="20" applyNumberFormat="1" applyFont="1" applyAlignment="1">
      <alignment horizontal="center"/>
    </xf>
    <xf numFmtId="41" fontId="17" fillId="0" borderId="0" xfId="20" applyNumberFormat="1" applyFont="1" applyFill="1" applyAlignment="1">
      <alignment horizontal="center"/>
    </xf>
    <xf numFmtId="5" fontId="17" fillId="0" borderId="0" xfId="20" applyNumberFormat="1" applyFont="1" applyAlignment="1">
      <alignment horizontal="center"/>
    </xf>
    <xf numFmtId="41" fontId="17" fillId="2" borderId="0" xfId="20" applyNumberFormat="1" applyFont="1" applyFill="1" applyAlignment="1">
      <alignment horizontal="center"/>
    </xf>
    <xf numFmtId="0" fontId="17" fillId="14" borderId="0" xfId="7" applyFont="1" applyFill="1" applyAlignment="1">
      <alignment vertical="top" wrapText="1"/>
    </xf>
    <xf numFmtId="0" fontId="17" fillId="0" borderId="0" xfId="7" applyFont="1" applyAlignment="1">
      <alignment horizontal="center"/>
    </xf>
    <xf numFmtId="41" fontId="17" fillId="15" borderId="0" xfId="1" applyNumberFormat="1" applyFont="1" applyFill="1" applyAlignment="1">
      <alignment horizontal="center"/>
    </xf>
    <xf numFmtId="44" fontId="17" fillId="0" borderId="0" xfId="20" applyFont="1"/>
    <xf numFmtId="41" fontId="17" fillId="0" borderId="0" xfId="20" applyNumberFormat="1" applyFont="1" applyFill="1" applyAlignment="1">
      <alignment horizontal="center" vertical="top"/>
    </xf>
    <xf numFmtId="5" fontId="20" fillId="0" borderId="0" xfId="1" applyNumberFormat="1" applyFont="1" applyBorder="1" applyAlignment="1">
      <alignment horizontal="center" vertical="top"/>
    </xf>
    <xf numFmtId="49" fontId="17" fillId="0" borderId="0" xfId="7" applyNumberFormat="1" applyFont="1" applyAlignment="1">
      <alignment horizontal="left" vertical="top" wrapText="1"/>
    </xf>
    <xf numFmtId="170" fontId="17" fillId="0" borderId="0" xfId="7" applyNumberFormat="1" applyFont="1" applyAlignment="1">
      <alignment horizontal="left" vertical="top"/>
    </xf>
    <xf numFmtId="170" fontId="17" fillId="0" borderId="0" xfId="7" applyNumberFormat="1" applyFont="1" applyAlignment="1">
      <alignment horizontal="center" vertical="top"/>
    </xf>
    <xf numFmtId="1" fontId="17" fillId="14" borderId="0" xfId="7" applyNumberFormat="1" applyFont="1" applyFill="1" applyAlignment="1">
      <alignment vertical="top"/>
    </xf>
    <xf numFmtId="5" fontId="17" fillId="0" borderId="0" xfId="1" applyNumberFormat="1" applyFont="1" applyFill="1" applyBorder="1" applyAlignment="1">
      <alignment horizontal="center" vertical="top"/>
    </xf>
    <xf numFmtId="41" fontId="17" fillId="0" borderId="0" xfId="20" applyNumberFormat="1" applyFont="1" applyAlignment="1">
      <alignment horizontal="left" vertical="top"/>
    </xf>
    <xf numFmtId="41" fontId="20" fillId="17" borderId="0" xfId="1" applyNumberFormat="1" applyFont="1" applyFill="1" applyAlignment="1">
      <alignment horizontal="center" vertical="top"/>
    </xf>
    <xf numFmtId="41" fontId="17" fillId="14" borderId="0" xfId="20" applyNumberFormat="1" applyFont="1" applyFill="1" applyAlignment="1">
      <alignment horizontal="center" vertical="top" wrapText="1"/>
    </xf>
    <xf numFmtId="0" fontId="22" fillId="0" borderId="0" xfId="7" applyFont="1" applyAlignment="1">
      <alignment horizontal="center" vertical="top"/>
    </xf>
    <xf numFmtId="0" fontId="20" fillId="0" borderId="6" xfId="7" applyFont="1" applyBorder="1"/>
    <xf numFmtId="1" fontId="17" fillId="0" borderId="0" xfId="7" applyNumberFormat="1" applyFont="1" applyAlignment="1">
      <alignment horizontal="center" vertical="top"/>
    </xf>
    <xf numFmtId="3" fontId="17" fillId="0" borderId="0" xfId="7" applyNumberFormat="1" applyFont="1"/>
    <xf numFmtId="0" fontId="17" fillId="16" borderId="0" xfId="7" applyFont="1" applyFill="1" applyAlignment="1">
      <alignment horizontal="center" vertical="top"/>
    </xf>
    <xf numFmtId="41" fontId="17" fillId="14" borderId="0" xfId="66" applyNumberFormat="1" applyFont="1" applyFill="1" applyAlignment="1">
      <alignment horizontal="center" vertical="top"/>
    </xf>
    <xf numFmtId="3" fontId="17" fillId="0" borderId="0" xfId="7" applyNumberFormat="1" applyFont="1" applyAlignment="1">
      <alignment horizontal="center" vertical="top"/>
    </xf>
    <xf numFmtId="172" fontId="17" fillId="16" borderId="0" xfId="7" applyNumberFormat="1" applyFont="1" applyFill="1" applyAlignment="1">
      <alignment horizontal="center" vertical="top"/>
    </xf>
    <xf numFmtId="44" fontId="17" fillId="0" borderId="0" xfId="20" applyFont="1" applyFill="1" applyAlignment="1">
      <alignment vertical="top"/>
    </xf>
    <xf numFmtId="0" fontId="20" fillId="0" borderId="1" xfId="7" applyFont="1" applyBorder="1" applyAlignment="1">
      <alignment horizontal="left" vertical="top" wrapText="1"/>
    </xf>
    <xf numFmtId="0" fontId="8" fillId="0" borderId="0" xfId="5" applyFont="1" applyAlignment="1">
      <alignment horizontal="left" vertical="center"/>
    </xf>
    <xf numFmtId="1" fontId="8" fillId="0" borderId="0" xfId="5" applyNumberFormat="1" applyFont="1" applyAlignment="1">
      <alignment horizontal="left" vertical="center"/>
    </xf>
    <xf numFmtId="0" fontId="8" fillId="0" borderId="11" xfId="5" applyFont="1" applyBorder="1" applyAlignment="1">
      <alignment horizontal="left" vertical="center"/>
    </xf>
    <xf numFmtId="0" fontId="40" fillId="0" borderId="26" xfId="5" applyFont="1" applyBorder="1" applyAlignment="1">
      <alignment vertical="center"/>
    </xf>
    <xf numFmtId="171" fontId="17" fillId="0" borderId="1" xfId="5" applyNumberFormat="1" applyFont="1" applyBorder="1" applyAlignment="1">
      <alignment horizontal="center" vertical="center"/>
    </xf>
    <xf numFmtId="0" fontId="8" fillId="0" borderId="0" xfId="102" applyFont="1" applyAlignment="1">
      <alignment horizontal="right" vertical="center"/>
    </xf>
    <xf numFmtId="0" fontId="8" fillId="0" borderId="0" xfId="102" applyFont="1" applyAlignment="1">
      <alignment vertical="center"/>
    </xf>
    <xf numFmtId="0" fontId="8" fillId="0" borderId="10" xfId="102" applyFont="1" applyBorder="1" applyAlignment="1">
      <alignment vertical="center"/>
    </xf>
    <xf numFmtId="171" fontId="8" fillId="0" borderId="1" xfId="102" applyNumberFormat="1" applyFont="1" applyBorder="1" applyAlignment="1">
      <alignment horizontal="center" vertical="center"/>
    </xf>
    <xf numFmtId="0" fontId="8" fillId="0" borderId="25" xfId="102" applyFont="1" applyBorder="1" applyAlignment="1">
      <alignment vertical="center"/>
    </xf>
    <xf numFmtId="0" fontId="58" fillId="0" borderId="0" xfId="5" applyFont="1" applyAlignment="1">
      <alignment horizontal="right" vertical="center"/>
    </xf>
    <xf numFmtId="0" fontId="62" fillId="0" borderId="0" xfId="5" applyFont="1" applyAlignment="1">
      <alignment horizontal="center"/>
    </xf>
    <xf numFmtId="0" fontId="64" fillId="0" borderId="0" xfId="5" applyFont="1" applyAlignment="1">
      <alignment horizontal="right" vertical="center"/>
    </xf>
    <xf numFmtId="0" fontId="8" fillId="0" borderId="0" xfId="5" applyFont="1" applyAlignment="1">
      <alignment vertical="center"/>
    </xf>
    <xf numFmtId="167" fontId="15" fillId="11" borderId="1" xfId="0" applyNumberFormat="1" applyFont="1" applyFill="1" applyBorder="1" applyAlignment="1" applyProtection="1">
      <alignment horizontal="center" vertical="center"/>
      <protection locked="0"/>
    </xf>
    <xf numFmtId="0" fontId="40" fillId="0" borderId="11" xfId="5" applyFont="1" applyBorder="1" applyAlignment="1">
      <alignment horizontal="left" vertical="center"/>
    </xf>
    <xf numFmtId="0" fontId="17" fillId="0" borderId="0" xfId="0" applyFont="1"/>
    <xf numFmtId="14" fontId="20" fillId="0" borderId="1" xfId="0" applyNumberFormat="1" applyFont="1" applyBorder="1"/>
    <xf numFmtId="0" fontId="20" fillId="0" borderId="1" xfId="0" applyFont="1" applyBorder="1" applyAlignment="1">
      <alignment wrapText="1"/>
    </xf>
    <xf numFmtId="14" fontId="17" fillId="0" borderId="1" xfId="0" applyNumberFormat="1" applyFont="1" applyBorder="1" applyAlignment="1">
      <alignment vertical="center"/>
    </xf>
    <xf numFmtId="0" fontId="17" fillId="0" borderId="1" xfId="0" applyFont="1" applyBorder="1" applyAlignment="1">
      <alignment vertical="center" wrapText="1"/>
    </xf>
    <xf numFmtId="14" fontId="17" fillId="0" borderId="1" xfId="0" applyNumberFormat="1" applyFont="1" applyBorder="1"/>
    <xf numFmtId="0" fontId="17" fillId="0" borderId="1" xfId="0" applyFont="1" applyBorder="1" applyAlignment="1">
      <alignment wrapText="1"/>
    </xf>
    <xf numFmtId="0" fontId="62" fillId="0" borderId="0" xfId="5" applyFont="1" applyAlignment="1">
      <alignment vertical="center" wrapText="1"/>
    </xf>
    <xf numFmtId="0" fontId="63" fillId="0" borderId="0" xfId="5" applyFont="1" applyAlignment="1">
      <alignment horizontal="right"/>
    </xf>
    <xf numFmtId="0" fontId="36" fillId="0" borderId="0" xfId="5"/>
    <xf numFmtId="0" fontId="7" fillId="0" borderId="0" xfId="5" applyFont="1"/>
    <xf numFmtId="0" fontId="5" fillId="0" borderId="0" xfId="5" applyFont="1"/>
    <xf numFmtId="0" fontId="13" fillId="0" borderId="0" xfId="5" applyFont="1"/>
    <xf numFmtId="0" fontId="36" fillId="0" borderId="11" xfId="5" applyBorder="1"/>
    <xf numFmtId="0" fontId="11" fillId="0" borderId="0" xfId="5" applyFont="1"/>
    <xf numFmtId="0" fontId="53" fillId="0" borderId="0" xfId="5" applyFont="1" applyAlignment="1">
      <alignment horizontal="right"/>
    </xf>
    <xf numFmtId="0" fontId="51" fillId="0" borderId="0" xfId="5" applyFont="1" applyAlignment="1">
      <alignment vertical="top" wrapText="1"/>
    </xf>
    <xf numFmtId="0" fontId="51" fillId="0" borderId="9" xfId="5" applyFont="1" applyBorder="1" applyAlignment="1">
      <alignment vertical="top" wrapText="1"/>
    </xf>
    <xf numFmtId="0" fontId="36" fillId="0" borderId="10" xfId="5" applyBorder="1"/>
    <xf numFmtId="0" fontId="4" fillId="0" borderId="0" xfId="5" applyFont="1"/>
    <xf numFmtId="0" fontId="10" fillId="0" borderId="0" xfId="5" applyFont="1"/>
    <xf numFmtId="0" fontId="36" fillId="0" borderId="27" xfId="5" applyBorder="1"/>
    <xf numFmtId="0" fontId="36" fillId="0" borderId="28" xfId="5" applyBorder="1"/>
    <xf numFmtId="0" fontId="36" fillId="0" borderId="29" xfId="5" applyBorder="1"/>
    <xf numFmtId="0" fontId="17" fillId="0" borderId="0" xfId="0" applyFont="1" applyAlignment="1">
      <alignment horizontal="center" vertical="top"/>
    </xf>
    <xf numFmtId="0" fontId="17" fillId="0" borderId="0" xfId="0" applyFont="1" applyAlignment="1">
      <alignment horizontal="left" vertical="top"/>
    </xf>
    <xf numFmtId="0" fontId="17" fillId="0" borderId="0" xfId="0" applyFont="1" applyAlignment="1">
      <alignment vertical="top"/>
    </xf>
    <xf numFmtId="0" fontId="3" fillId="0" borderId="0" xfId="5" applyFont="1"/>
    <xf numFmtId="171" fontId="36" fillId="0" borderId="0" xfId="5" applyNumberFormat="1"/>
    <xf numFmtId="0" fontId="17" fillId="12" borderId="1" xfId="5" applyFont="1" applyFill="1" applyBorder="1" applyAlignment="1">
      <alignment horizontal="center" vertical="center"/>
    </xf>
    <xf numFmtId="0" fontId="3" fillId="0" borderId="0" xfId="5" applyFont="1" applyAlignment="1">
      <alignment horizontal="center"/>
    </xf>
    <xf numFmtId="0" fontId="3" fillId="0" borderId="0" xfId="5" applyFont="1" applyAlignment="1">
      <alignment horizontal="left"/>
    </xf>
    <xf numFmtId="171" fontId="0" fillId="0" borderId="0" xfId="0" applyNumberFormat="1"/>
    <xf numFmtId="0" fontId="40" fillId="0" borderId="0" xfId="5" applyFont="1"/>
    <xf numFmtId="49" fontId="18" fillId="0" borderId="11" xfId="5" quotePrefix="1" applyNumberFormat="1" applyFont="1" applyBorder="1" applyAlignment="1">
      <alignment horizontal="left" vertical="center"/>
    </xf>
    <xf numFmtId="2" fontId="0" fillId="0" borderId="0" xfId="0" applyNumberFormat="1"/>
    <xf numFmtId="0" fontId="2" fillId="0" borderId="0" xfId="5" applyFont="1"/>
    <xf numFmtId="0" fontId="59" fillId="0" borderId="0" xfId="5" applyFont="1" applyAlignment="1">
      <alignment horizontal="left"/>
    </xf>
    <xf numFmtId="2" fontId="17" fillId="0" borderId="0" xfId="63" applyNumberFormat="1" applyFont="1"/>
    <xf numFmtId="0" fontId="17" fillId="0" borderId="0" xfId="63" applyFont="1" applyAlignment="1">
      <alignment horizontal="right"/>
    </xf>
    <xf numFmtId="0" fontId="33" fillId="0" borderId="11" xfId="63" applyFont="1" applyBorder="1"/>
    <xf numFmtId="1" fontId="17" fillId="0" borderId="0" xfId="63" applyNumberFormat="1" applyFont="1"/>
    <xf numFmtId="0" fontId="33" fillId="0" borderId="0" xfId="63" applyFont="1"/>
    <xf numFmtId="0" fontId="33" fillId="0" borderId="0" xfId="63" applyFont="1" applyAlignment="1">
      <alignment shrinkToFit="1"/>
    </xf>
    <xf numFmtId="0" fontId="33" fillId="0" borderId="11" xfId="63" applyFont="1" applyBorder="1" applyAlignment="1">
      <alignment shrinkToFit="1"/>
    </xf>
    <xf numFmtId="0" fontId="17" fillId="0" borderId="23" xfId="63" applyFont="1" applyBorder="1" applyAlignment="1">
      <alignment horizontal="center"/>
    </xf>
    <xf numFmtId="0" fontId="17" fillId="0" borderId="22" xfId="63" applyFont="1" applyBorder="1" applyAlignment="1">
      <alignment horizontal="center"/>
    </xf>
    <xf numFmtId="171" fontId="17" fillId="12" borderId="1" xfId="63" applyNumberFormat="1" applyFont="1" applyFill="1" applyBorder="1" applyAlignment="1">
      <alignment horizontal="center"/>
    </xf>
    <xf numFmtId="0" fontId="17" fillId="0" borderId="0" xfId="11" applyFont="1"/>
    <xf numFmtId="171" fontId="17" fillId="0" borderId="0" xfId="63" applyNumberFormat="1" applyFont="1"/>
    <xf numFmtId="0" fontId="66" fillId="0" borderId="14" xfId="5" applyFont="1" applyBorder="1" applyAlignment="1">
      <alignment vertical="center"/>
    </xf>
    <xf numFmtId="0" fontId="66" fillId="0" borderId="10" xfId="5" applyFont="1" applyBorder="1" applyAlignment="1">
      <alignment vertical="center"/>
    </xf>
    <xf numFmtId="0" fontId="66" fillId="0" borderId="0" xfId="5" applyFont="1" applyAlignment="1">
      <alignment vertical="center"/>
    </xf>
    <xf numFmtId="2" fontId="17" fillId="0" borderId="0" xfId="5" applyNumberFormat="1" applyFont="1" applyAlignment="1">
      <alignment horizontal="right" vertical="center"/>
    </xf>
    <xf numFmtId="0" fontId="17" fillId="12" borderId="0" xfId="5" applyFont="1" applyFill="1" applyAlignment="1" applyProtection="1">
      <alignment horizontal="center" vertical="center"/>
      <protection locked="0"/>
    </xf>
    <xf numFmtId="0" fontId="8" fillId="12" borderId="0" xfId="5" applyFont="1" applyFill="1" applyAlignment="1" applyProtection="1">
      <alignment horizontal="center" vertical="center" shrinkToFit="1"/>
      <protection locked="0"/>
    </xf>
    <xf numFmtId="0" fontId="62" fillId="0" borderId="11" xfId="5" applyFont="1" applyBorder="1" applyAlignment="1">
      <alignment vertical="center" wrapText="1"/>
    </xf>
    <xf numFmtId="0" fontId="62" fillId="0" borderId="0" xfId="5" applyFont="1" applyAlignment="1">
      <alignment vertical="center"/>
    </xf>
    <xf numFmtId="0" fontId="0" fillId="0" borderId="10" xfId="0" applyBorder="1"/>
    <xf numFmtId="0" fontId="38" fillId="0" borderId="10" xfId="5" applyFont="1" applyBorder="1" applyAlignment="1">
      <alignment horizontal="center" vertical="center"/>
    </xf>
    <xf numFmtId="0" fontId="17" fillId="0" borderId="10" xfId="5" applyFont="1" applyBorder="1" applyAlignment="1">
      <alignment horizontal="center" vertical="center"/>
    </xf>
    <xf numFmtId="0" fontId="17" fillId="0" borderId="0" xfId="5" applyFont="1" applyAlignment="1">
      <alignment horizontal="center" vertical="center"/>
    </xf>
    <xf numFmtId="0" fontId="8" fillId="0" borderId="0" xfId="5" applyFont="1" applyAlignment="1">
      <alignment horizontal="center" vertical="center"/>
    </xf>
    <xf numFmtId="0" fontId="17" fillId="0" borderId="0" xfId="63" applyFont="1" applyAlignment="1">
      <alignment horizontal="center"/>
    </xf>
    <xf numFmtId="0" fontId="50" fillId="0" borderId="0" xfId="5" applyFont="1" applyAlignment="1">
      <alignment vertical="center" wrapText="1"/>
    </xf>
    <xf numFmtId="0" fontId="50" fillId="0" borderId="11" xfId="5" applyFont="1" applyBorder="1" applyAlignment="1">
      <alignment vertical="center" wrapText="1"/>
    </xf>
    <xf numFmtId="0" fontId="22" fillId="0" borderId="20" xfId="63" applyFont="1" applyBorder="1" applyAlignment="1">
      <alignment horizontal="right"/>
    </xf>
    <xf numFmtId="0" fontId="22" fillId="0" borderId="22" xfId="63" applyFont="1" applyBorder="1" applyAlignment="1">
      <alignment horizontal="right"/>
    </xf>
    <xf numFmtId="0" fontId="0" fillId="0" borderId="0" xfId="0" applyAlignment="1">
      <alignment wrapText="1"/>
    </xf>
    <xf numFmtId="0" fontId="0" fillId="0" borderId="0" xfId="0" applyAlignment="1">
      <alignment horizontal="left" wrapText="1"/>
    </xf>
    <xf numFmtId="0" fontId="0" fillId="0" borderId="0" xfId="0" applyAlignment="1">
      <alignment horizontal="right" wrapText="1"/>
    </xf>
    <xf numFmtId="0" fontId="17" fillId="0" borderId="1" xfId="63" applyFont="1" applyBorder="1" applyAlignment="1">
      <alignment horizontal="center" vertical="center"/>
    </xf>
    <xf numFmtId="0" fontId="17" fillId="12" borderId="1" xfId="63" applyFont="1" applyFill="1" applyBorder="1" applyAlignment="1">
      <alignment horizontal="center" vertical="center"/>
    </xf>
    <xf numFmtId="0" fontId="65" fillId="18" borderId="12" xfId="5" applyFont="1" applyFill="1" applyBorder="1" applyAlignment="1">
      <alignment vertical="center"/>
    </xf>
    <xf numFmtId="0" fontId="65" fillId="18" borderId="16" xfId="5" applyFont="1" applyFill="1" applyBorder="1" applyAlignment="1">
      <alignment vertical="center"/>
    </xf>
    <xf numFmtId="0" fontId="65" fillId="18" borderId="17" xfId="5" applyFont="1" applyFill="1" applyBorder="1" applyAlignment="1">
      <alignment vertical="center"/>
    </xf>
    <xf numFmtId="0" fontId="61" fillId="18" borderId="12" xfId="5" applyFont="1" applyFill="1" applyBorder="1" applyAlignment="1">
      <alignment vertical="center"/>
    </xf>
    <xf numFmtId="0" fontId="61" fillId="18" borderId="16" xfId="5" applyFont="1" applyFill="1" applyBorder="1" applyAlignment="1">
      <alignment vertical="center"/>
    </xf>
    <xf numFmtId="0" fontId="61" fillId="18" borderId="17" xfId="5" applyFont="1" applyFill="1" applyBorder="1" applyAlignment="1">
      <alignment vertical="center"/>
    </xf>
    <xf numFmtId="0" fontId="59" fillId="18" borderId="12" xfId="5" applyFont="1" applyFill="1" applyBorder="1" applyAlignment="1">
      <alignment vertical="center"/>
    </xf>
    <xf numFmtId="0" fontId="59" fillId="18" borderId="16" xfId="5" applyFont="1" applyFill="1" applyBorder="1" applyAlignment="1">
      <alignment vertical="center"/>
    </xf>
    <xf numFmtId="0" fontId="59" fillId="18" borderId="17" xfId="5" applyFont="1" applyFill="1" applyBorder="1" applyAlignment="1">
      <alignment vertical="center"/>
    </xf>
    <xf numFmtId="0" fontId="49" fillId="16" borderId="1" xfId="5" applyFont="1" applyFill="1" applyBorder="1" applyAlignment="1" applyProtection="1">
      <alignment vertical="center"/>
      <protection locked="0"/>
    </xf>
    <xf numFmtId="1" fontId="38" fillId="16" borderId="1" xfId="5" applyNumberFormat="1" applyFont="1" applyFill="1" applyBorder="1" applyAlignment="1" applyProtection="1">
      <alignment horizontal="center" vertical="center"/>
      <protection locked="0"/>
    </xf>
    <xf numFmtId="2" fontId="17" fillId="16" borderId="1" xfId="5" applyNumberFormat="1" applyFont="1" applyFill="1" applyBorder="1" applyAlignment="1" applyProtection="1">
      <alignment horizontal="center" vertical="center"/>
      <protection locked="0"/>
    </xf>
    <xf numFmtId="171" fontId="17" fillId="16" borderId="1" xfId="63" applyNumberFormat="1" applyFont="1" applyFill="1" applyBorder="1" applyAlignment="1" applyProtection="1">
      <alignment horizontal="center"/>
      <protection locked="0"/>
    </xf>
    <xf numFmtId="171" fontId="17" fillId="16" borderId="1" xfId="5" applyNumberFormat="1" applyFont="1" applyFill="1" applyBorder="1" applyAlignment="1" applyProtection="1">
      <alignment horizontal="center" vertical="center"/>
      <protection locked="0"/>
    </xf>
    <xf numFmtId="1" fontId="17" fillId="16" borderId="1" xfId="5" applyNumberFormat="1" applyFont="1" applyFill="1" applyBorder="1" applyAlignment="1" applyProtection="1">
      <alignment horizontal="center" vertical="center"/>
      <protection locked="0"/>
    </xf>
    <xf numFmtId="0" fontId="8" fillId="16" borderId="1" xfId="5" applyFont="1" applyFill="1" applyBorder="1" applyAlignment="1" applyProtection="1">
      <alignment horizontal="center" vertical="center"/>
      <protection locked="0"/>
    </xf>
    <xf numFmtId="0" fontId="17" fillId="16" borderId="1" xfId="5" applyFont="1" applyFill="1" applyBorder="1" applyAlignment="1" applyProtection="1">
      <alignment horizontal="center" vertical="center"/>
      <protection locked="0"/>
    </xf>
    <xf numFmtId="171" fontId="38" fillId="16" borderId="1" xfId="5" applyNumberFormat="1" applyFont="1" applyFill="1" applyBorder="1" applyAlignment="1" applyProtection="1">
      <alignment horizontal="center" vertical="center"/>
      <protection locked="0"/>
    </xf>
    <xf numFmtId="0" fontId="38" fillId="16" borderId="1" xfId="5" applyFont="1" applyFill="1" applyBorder="1" applyAlignment="1" applyProtection="1">
      <alignment horizontal="center" vertical="center"/>
      <protection locked="0"/>
    </xf>
    <xf numFmtId="170" fontId="38" fillId="16" borderId="1" xfId="5" applyNumberFormat="1" applyFont="1" applyFill="1" applyBorder="1" applyAlignment="1">
      <alignment horizontal="center" vertical="center"/>
    </xf>
    <xf numFmtId="0" fontId="41" fillId="0" borderId="0" xfId="7" applyFont="1" applyAlignment="1">
      <alignment vertical="top"/>
    </xf>
    <xf numFmtId="175" fontId="47" fillId="0" borderId="0" xfId="7" applyNumberFormat="1" applyFont="1" applyAlignment="1">
      <alignment vertical="top"/>
    </xf>
    <xf numFmtId="0" fontId="47" fillId="0" borderId="0" xfId="7" applyFont="1" applyAlignment="1">
      <alignment vertical="top"/>
    </xf>
    <xf numFmtId="41" fontId="47" fillId="0" borderId="0" xfId="20" applyNumberFormat="1" applyFont="1" applyAlignment="1">
      <alignment horizontal="center" vertical="top"/>
    </xf>
    <xf numFmtId="41" fontId="47" fillId="0" borderId="0" xfId="1" applyNumberFormat="1" applyFont="1" applyFill="1" applyAlignment="1">
      <alignment horizontal="center" vertical="top"/>
    </xf>
    <xf numFmtId="41" fontId="47" fillId="0" borderId="0" xfId="20" applyNumberFormat="1" applyFont="1" applyAlignment="1">
      <alignment horizontal="left" vertical="top"/>
    </xf>
    <xf numFmtId="43" fontId="47" fillId="0" borderId="0" xfId="0" applyNumberFormat="1" applyFont="1" applyAlignment="1">
      <alignment vertical="top"/>
    </xf>
    <xf numFmtId="175" fontId="47" fillId="0" borderId="0" xfId="0" applyNumberFormat="1" applyFont="1" applyAlignment="1">
      <alignment vertical="top"/>
    </xf>
    <xf numFmtId="0" fontId="47" fillId="0" borderId="0" xfId="0" applyFont="1" applyAlignment="1">
      <alignment vertical="top"/>
    </xf>
    <xf numFmtId="175" fontId="47" fillId="0" borderId="0" xfId="20" applyNumberFormat="1" applyFont="1" applyAlignment="1">
      <alignment horizontal="center" vertical="top"/>
    </xf>
    <xf numFmtId="0" fontId="47" fillId="0" borderId="0" xfId="20" applyNumberFormat="1" applyFont="1" applyAlignment="1">
      <alignment horizontal="center" vertical="top"/>
    </xf>
    <xf numFmtId="41" fontId="71" fillId="14" borderId="0" xfId="20" applyNumberFormat="1" applyFont="1" applyFill="1" applyAlignment="1">
      <alignment horizontal="center" vertical="top"/>
    </xf>
    <xf numFmtId="1" fontId="71" fillId="14" borderId="0" xfId="7" applyNumberFormat="1" applyFont="1" applyFill="1" applyAlignment="1">
      <alignment vertical="top"/>
    </xf>
    <xf numFmtId="170" fontId="41" fillId="0" borderId="0" xfId="7" applyNumberFormat="1" applyFont="1" applyAlignment="1">
      <alignment vertical="top"/>
    </xf>
    <xf numFmtId="0" fontId="62" fillId="0" borderId="10" xfId="5" applyFont="1" applyBorder="1" applyAlignment="1">
      <alignment vertical="center" wrapText="1"/>
    </xf>
    <xf numFmtId="0" fontId="61" fillId="18" borderId="16" xfId="5" applyFont="1" applyFill="1" applyBorder="1" applyAlignment="1">
      <alignment horizontal="center" vertical="center"/>
    </xf>
    <xf numFmtId="0" fontId="68" fillId="0" borderId="0" xfId="5" applyFont="1" applyAlignment="1">
      <alignment horizontal="center" vertical="center" wrapText="1"/>
    </xf>
    <xf numFmtId="0" fontId="38" fillId="0" borderId="18" xfId="5" applyFont="1" applyBorder="1" applyAlignment="1">
      <alignment horizontal="center" vertical="center"/>
    </xf>
    <xf numFmtId="0" fontId="38" fillId="0" borderId="9" xfId="5" applyFont="1" applyBorder="1" applyAlignment="1">
      <alignment horizontal="center" vertical="center"/>
    </xf>
    <xf numFmtId="0" fontId="38" fillId="0" borderId="19" xfId="5" applyFont="1" applyBorder="1" applyAlignment="1">
      <alignment horizontal="center" vertical="center"/>
    </xf>
    <xf numFmtId="0" fontId="69" fillId="0" borderId="13" xfId="5" applyFont="1" applyBorder="1" applyAlignment="1">
      <alignment horizontal="left" vertical="center"/>
    </xf>
    <xf numFmtId="0" fontId="69" fillId="0" borderId="14" xfId="5" applyFont="1" applyBorder="1" applyAlignment="1">
      <alignment horizontal="left" vertical="center"/>
    </xf>
    <xf numFmtId="0" fontId="69" fillId="0" borderId="10" xfId="5" applyFont="1" applyBorder="1" applyAlignment="1">
      <alignment horizontal="left" vertical="center"/>
    </xf>
    <xf numFmtId="0" fontId="69" fillId="0" borderId="0" xfId="5" applyFont="1" applyAlignment="1">
      <alignment horizontal="left" vertical="center"/>
    </xf>
    <xf numFmtId="0" fontId="9" fillId="0" borderId="10" xfId="5" applyFont="1" applyBorder="1" applyAlignment="1">
      <alignment horizontal="center" vertical="center"/>
    </xf>
    <xf numFmtId="0" fontId="38" fillId="0" borderId="20" xfId="5" applyFont="1" applyBorder="1" applyAlignment="1">
      <alignment horizontal="center" vertical="center"/>
    </xf>
    <xf numFmtId="0" fontId="38" fillId="0" borderId="10" xfId="5" applyFont="1" applyBorder="1" applyAlignment="1">
      <alignment horizontal="center" vertical="center"/>
    </xf>
    <xf numFmtId="0" fontId="38" fillId="0" borderId="0" xfId="5" applyFont="1" applyAlignment="1">
      <alignment horizontal="center" vertical="center"/>
    </xf>
    <xf numFmtId="0" fontId="17" fillId="0" borderId="10" xfId="5" applyFont="1" applyBorder="1" applyAlignment="1">
      <alignment horizontal="center" vertical="center"/>
    </xf>
    <xf numFmtId="0" fontId="17" fillId="0" borderId="0" xfId="5" applyFont="1" applyAlignment="1">
      <alignment horizontal="center" vertical="center"/>
    </xf>
    <xf numFmtId="170" fontId="17" fillId="0" borderId="0" xfId="5" applyNumberFormat="1" applyFont="1" applyAlignment="1">
      <alignment horizontal="center" vertical="center"/>
    </xf>
    <xf numFmtId="170" fontId="17" fillId="0" borderId="20" xfId="5" applyNumberFormat="1" applyFont="1" applyBorder="1" applyAlignment="1">
      <alignment horizontal="center" vertical="center"/>
    </xf>
    <xf numFmtId="0" fontId="8" fillId="0" borderId="0" xfId="5" applyFont="1" applyAlignment="1">
      <alignment horizontal="center" vertical="center"/>
    </xf>
    <xf numFmtId="0" fontId="8" fillId="0" borderId="20" xfId="5" applyFont="1" applyBorder="1" applyAlignment="1">
      <alignment horizontal="center" vertical="center"/>
    </xf>
    <xf numFmtId="49" fontId="1" fillId="16" borderId="2" xfId="5" applyNumberFormat="1" applyFont="1" applyFill="1" applyBorder="1" applyAlignment="1" applyProtection="1">
      <alignment horizontal="left" vertical="center"/>
      <protection locked="0"/>
    </xf>
    <xf numFmtId="49" fontId="36" fillId="16" borderId="2" xfId="5" applyNumberFormat="1" applyFill="1" applyBorder="1" applyAlignment="1" applyProtection="1">
      <alignment horizontal="left" vertical="center"/>
      <protection locked="0"/>
    </xf>
    <xf numFmtId="14" fontId="67" fillId="18" borderId="16" xfId="5" applyNumberFormat="1" applyFont="1" applyFill="1" applyBorder="1" applyAlignment="1">
      <alignment horizontal="right"/>
    </xf>
    <xf numFmtId="0" fontId="67" fillId="18" borderId="17" xfId="5" applyFont="1" applyFill="1" applyBorder="1" applyAlignment="1">
      <alignment horizontal="right"/>
    </xf>
    <xf numFmtId="0" fontId="38" fillId="0" borderId="0" xfId="5" applyFont="1" applyAlignment="1">
      <alignment horizontal="center"/>
    </xf>
    <xf numFmtId="0" fontId="17" fillId="0" borderId="10" xfId="5" applyFont="1" applyBorder="1" applyAlignment="1">
      <alignment horizontal="center" vertical="center" shrinkToFit="1"/>
    </xf>
    <xf numFmtId="0" fontId="17" fillId="0" borderId="20" xfId="5" applyFont="1" applyBorder="1" applyAlignment="1">
      <alignment horizontal="center" vertical="center" shrinkToFit="1"/>
    </xf>
    <xf numFmtId="0" fontId="18" fillId="0" borderId="10" xfId="5" applyFont="1" applyBorder="1" applyAlignment="1">
      <alignment horizontal="center" vertical="center"/>
    </xf>
    <xf numFmtId="0" fontId="18" fillId="0" borderId="0" xfId="5" applyFont="1" applyAlignment="1">
      <alignment horizontal="center" vertical="center"/>
    </xf>
    <xf numFmtId="0" fontId="18" fillId="0" borderId="11" xfId="5" applyFont="1" applyBorder="1" applyAlignment="1">
      <alignment horizontal="center" vertical="center"/>
    </xf>
    <xf numFmtId="0" fontId="38" fillId="0" borderId="0" xfId="5" applyFont="1" applyAlignment="1">
      <alignment horizontal="left" vertical="center" shrinkToFit="1"/>
    </xf>
    <xf numFmtId="0" fontId="38" fillId="0" borderId="11" xfId="5" applyFont="1" applyBorder="1" applyAlignment="1">
      <alignment horizontal="left" vertical="center" shrinkToFit="1"/>
    </xf>
    <xf numFmtId="0" fontId="52" fillId="0" borderId="0" xfId="5" applyFont="1" applyAlignment="1">
      <alignment horizontal="left" vertical="top" wrapText="1"/>
    </xf>
    <xf numFmtId="0" fontId="0" fillId="0" borderId="0" xfId="0"/>
    <xf numFmtId="0" fontId="0" fillId="0" borderId="11" xfId="0" applyBorder="1"/>
    <xf numFmtId="0" fontId="0" fillId="0" borderId="9" xfId="0" applyBorder="1"/>
    <xf numFmtId="0" fontId="0" fillId="0" borderId="19" xfId="0" applyBorder="1"/>
    <xf numFmtId="0" fontId="17" fillId="0" borderId="20" xfId="5" applyFont="1" applyBorder="1" applyAlignment="1">
      <alignment horizontal="center" vertical="center"/>
    </xf>
    <xf numFmtId="14" fontId="1" fillId="16" borderId="2" xfId="5" applyNumberFormat="1" applyFont="1" applyFill="1" applyBorder="1" applyAlignment="1" applyProtection="1">
      <alignment horizontal="left" vertical="center"/>
      <protection locked="0"/>
    </xf>
    <xf numFmtId="14" fontId="36" fillId="16" borderId="2" xfId="5" applyNumberFormat="1" applyFill="1" applyBorder="1" applyAlignment="1" applyProtection="1">
      <alignment horizontal="left" vertical="center"/>
      <protection locked="0"/>
    </xf>
    <xf numFmtId="0" fontId="8" fillId="0" borderId="10" xfId="5" applyFont="1" applyBorder="1" applyAlignment="1">
      <alignment horizontal="center" vertical="center"/>
    </xf>
    <xf numFmtId="0" fontId="62" fillId="0" borderId="0" xfId="5" applyFont="1" applyAlignment="1">
      <alignment horizontal="center" vertical="center" wrapText="1"/>
    </xf>
    <xf numFmtId="0" fontId="64" fillId="0" borderId="0" xfId="5" applyFont="1" applyAlignment="1">
      <alignment horizontal="center" vertical="center" wrapText="1"/>
    </xf>
    <xf numFmtId="0" fontId="64" fillId="0" borderId="11" xfId="5" applyFont="1" applyBorder="1" applyAlignment="1">
      <alignment horizontal="center" vertical="center" wrapText="1"/>
    </xf>
    <xf numFmtId="0" fontId="62" fillId="0" borderId="11" xfId="5" applyFont="1" applyBorder="1" applyAlignment="1">
      <alignment horizontal="center" vertical="center" wrapText="1"/>
    </xf>
    <xf numFmtId="0" fontId="41" fillId="0" borderId="10" xfId="5" applyFont="1" applyBorder="1" applyAlignment="1">
      <alignment horizontal="center" vertical="center"/>
    </xf>
    <xf numFmtId="0" fontId="41" fillId="0" borderId="0" xfId="5" applyFont="1" applyAlignment="1">
      <alignment horizontal="center" vertical="center"/>
    </xf>
    <xf numFmtId="0" fontId="41" fillId="0" borderId="11" xfId="5" applyFont="1" applyBorder="1" applyAlignment="1">
      <alignment horizontal="center" vertical="center"/>
    </xf>
    <xf numFmtId="0" fontId="62" fillId="0" borderId="10" xfId="5" applyFont="1" applyBorder="1" applyAlignment="1">
      <alignment horizontal="center" vertical="center" wrapText="1"/>
    </xf>
    <xf numFmtId="0" fontId="38" fillId="0" borderId="10" xfId="5" applyFont="1" applyBorder="1" applyAlignment="1">
      <alignment horizontal="center" vertical="center" shrinkToFit="1"/>
    </xf>
    <xf numFmtId="0" fontId="38" fillId="0" borderId="0" xfId="5" applyFont="1" applyAlignment="1">
      <alignment horizontal="center" vertical="center" shrinkToFit="1"/>
    </xf>
    <xf numFmtId="0" fontId="72" fillId="18" borderId="16" xfId="5" applyFont="1" applyFill="1" applyBorder="1" applyAlignment="1">
      <alignment horizontal="center" vertical="center"/>
    </xf>
    <xf numFmtId="0" fontId="50" fillId="0" borderId="0" xfId="5" applyFont="1" applyAlignment="1">
      <alignment horizontal="center" vertical="center"/>
    </xf>
    <xf numFmtId="0" fontId="50" fillId="0" borderId="20" xfId="5" applyFont="1" applyBorder="1" applyAlignment="1">
      <alignment horizontal="center" vertical="center"/>
    </xf>
    <xf numFmtId="0" fontId="61" fillId="18" borderId="12" xfId="5" applyFont="1" applyFill="1" applyBorder="1" applyAlignment="1">
      <alignment horizontal="center" vertical="center"/>
    </xf>
    <xf numFmtId="0" fontId="61" fillId="18" borderId="17" xfId="5" applyFont="1" applyFill="1" applyBorder="1" applyAlignment="1">
      <alignment horizontal="center" vertical="center"/>
    </xf>
    <xf numFmtId="0" fontId="60" fillId="18" borderId="16" xfId="5" applyFont="1" applyFill="1" applyBorder="1" applyAlignment="1">
      <alignment horizontal="center" vertical="center"/>
    </xf>
    <xf numFmtId="49" fontId="38" fillId="0" borderId="2" xfId="5" applyNumberFormat="1" applyFont="1" applyBorder="1" applyAlignment="1">
      <alignment horizontal="left" vertical="center"/>
    </xf>
    <xf numFmtId="0" fontId="38" fillId="0" borderId="2" xfId="5" applyFont="1" applyBorder="1" applyAlignment="1">
      <alignment horizontal="left" vertical="center"/>
    </xf>
    <xf numFmtId="0" fontId="33" fillId="0" borderId="0" xfId="63" applyFont="1" applyAlignment="1">
      <alignment horizontal="center"/>
    </xf>
    <xf numFmtId="0" fontId="33" fillId="0" borderId="20" xfId="63" applyFont="1" applyBorder="1" applyAlignment="1">
      <alignment horizontal="center"/>
    </xf>
    <xf numFmtId="0" fontId="60" fillId="18" borderId="12" xfId="5" applyFont="1" applyFill="1" applyBorder="1" applyAlignment="1">
      <alignment horizontal="center" vertical="center"/>
    </xf>
    <xf numFmtId="0" fontId="60" fillId="18" borderId="17" xfId="5" applyFont="1" applyFill="1" applyBorder="1" applyAlignment="1">
      <alignment horizontal="center" vertical="center"/>
    </xf>
    <xf numFmtId="0" fontId="33" fillId="0" borderId="0" xfId="5" applyFont="1" applyAlignment="1">
      <alignment horizontal="center" vertical="center"/>
    </xf>
    <xf numFmtId="0" fontId="33" fillId="0" borderId="20" xfId="5" applyFont="1" applyBorder="1" applyAlignment="1">
      <alignment horizontal="center" vertical="center"/>
    </xf>
    <xf numFmtId="0" fontId="33" fillId="0" borderId="0" xfId="63" applyFont="1" applyAlignment="1">
      <alignment horizontal="center" shrinkToFit="1"/>
    </xf>
    <xf numFmtId="0" fontId="33" fillId="0" borderId="20" xfId="63" applyFont="1" applyBorder="1" applyAlignment="1">
      <alignment horizontal="center" shrinkToFit="1"/>
    </xf>
    <xf numFmtId="0" fontId="17" fillId="0" borderId="0" xfId="5" applyFont="1" applyAlignment="1">
      <alignment horizontal="center" vertical="center" shrinkToFit="1"/>
    </xf>
    <xf numFmtId="0" fontId="70" fillId="0" borderId="13" xfId="5" applyFont="1" applyBorder="1" applyAlignment="1">
      <alignment horizontal="center" vertical="center"/>
    </xf>
    <xf numFmtId="0" fontId="70" fillId="0" borderId="14" xfId="5" applyFont="1" applyBorder="1" applyAlignment="1">
      <alignment horizontal="center" vertical="center"/>
    </xf>
    <xf numFmtId="0" fontId="70" fillId="0" borderId="10" xfId="5" applyFont="1" applyBorder="1" applyAlignment="1">
      <alignment horizontal="center" vertical="center"/>
    </xf>
    <xf numFmtId="0" fontId="70" fillId="0" borderId="0" xfId="5" applyFont="1" applyAlignment="1">
      <alignment horizontal="center" vertical="center"/>
    </xf>
    <xf numFmtId="0" fontId="17" fillId="0" borderId="0" xfId="63" applyFont="1" applyAlignment="1">
      <alignment horizontal="center"/>
    </xf>
    <xf numFmtId="0" fontId="38" fillId="0" borderId="0" xfId="5" applyFont="1" applyAlignment="1">
      <alignment horizontal="center" vertical="center" wrapText="1"/>
    </xf>
    <xf numFmtId="0" fontId="33" fillId="0" borderId="0" xfId="63" applyFont="1" applyAlignment="1">
      <alignment horizontal="left" vertical="top" wrapText="1"/>
    </xf>
    <xf numFmtId="0" fontId="33" fillId="0" borderId="11" xfId="63" applyFont="1" applyBorder="1" applyAlignment="1">
      <alignment horizontal="left" vertical="top" wrapText="1"/>
    </xf>
    <xf numFmtId="0" fontId="0" fillId="0" borderId="2" xfId="0" applyBorder="1" applyAlignment="1">
      <alignment horizontal="left" vertical="center"/>
    </xf>
    <xf numFmtId="0" fontId="17" fillId="16" borderId="8" xfId="63" applyFont="1" applyFill="1" applyBorder="1" applyAlignment="1" applyProtection="1">
      <alignment horizontal="left" shrinkToFit="1"/>
      <protection locked="0"/>
    </xf>
    <xf numFmtId="0" fontId="17" fillId="16" borderId="3" xfId="63" applyFont="1" applyFill="1" applyBorder="1" applyAlignment="1" applyProtection="1">
      <alignment horizontal="left" shrinkToFit="1"/>
      <protection locked="0"/>
    </xf>
    <xf numFmtId="0" fontId="17" fillId="16" borderId="22" xfId="63" applyFont="1" applyFill="1" applyBorder="1" applyAlignment="1" applyProtection="1">
      <alignment horizontal="left" shrinkToFit="1"/>
      <protection locked="0"/>
    </xf>
    <xf numFmtId="0" fontId="50" fillId="0" borderId="0" xfId="63" applyFont="1" applyAlignment="1">
      <alignment horizontal="center" vertical="center"/>
    </xf>
    <xf numFmtId="0" fontId="50" fillId="0" borderId="11" xfId="63" applyFont="1" applyBorder="1" applyAlignment="1">
      <alignment horizontal="center" vertical="center"/>
    </xf>
    <xf numFmtId="0" fontId="50" fillId="0" borderId="0" xfId="5" applyFont="1" applyAlignment="1">
      <alignment horizontal="center" vertical="center" wrapText="1"/>
    </xf>
    <xf numFmtId="0" fontId="50" fillId="0" borderId="11" xfId="5" applyFont="1" applyBorder="1" applyAlignment="1">
      <alignment horizontal="center" vertical="center" wrapText="1"/>
    </xf>
    <xf numFmtId="9" fontId="17" fillId="8" borderId="6" xfId="19" applyFont="1" applyFill="1" applyBorder="1" applyAlignment="1">
      <alignment horizontal="left" vertical="center" wrapText="1"/>
    </xf>
    <xf numFmtId="9" fontId="17" fillId="8" borderId="1" xfId="19" applyFont="1" applyFill="1" applyBorder="1" applyAlignment="1">
      <alignment horizontal="left" vertical="center" wrapText="1"/>
    </xf>
    <xf numFmtId="0" fontId="23" fillId="0" borderId="1" xfId="7" applyFont="1" applyBorder="1" applyAlignment="1">
      <alignment horizontal="left" vertical="top" wrapText="1"/>
    </xf>
    <xf numFmtId="9" fontId="17" fillId="7" borderId="1" xfId="19" applyFont="1" applyFill="1" applyBorder="1" applyAlignment="1">
      <alignment horizontal="left" vertical="top" wrapText="1"/>
    </xf>
    <xf numFmtId="0" fontId="17" fillId="8" borderId="1" xfId="7" applyFont="1" applyFill="1" applyBorder="1" applyAlignment="1">
      <alignment horizontal="center" vertical="top" wrapText="1"/>
    </xf>
    <xf numFmtId="0" fontId="17" fillId="7" borderId="1" xfId="7" applyFont="1" applyFill="1" applyBorder="1" applyAlignment="1">
      <alignment horizontal="left" vertical="center" wrapText="1"/>
    </xf>
    <xf numFmtId="0" fontId="17" fillId="7" borderId="21" xfId="7" applyFont="1" applyFill="1" applyBorder="1" applyAlignment="1">
      <alignment horizontal="left" vertical="center" wrapText="1"/>
    </xf>
    <xf numFmtId="0" fontId="23" fillId="0" borderId="4" xfId="7" applyFont="1" applyBorder="1" applyAlignment="1">
      <alignment horizontal="left" vertical="top" wrapText="1"/>
    </xf>
    <xf numFmtId="0" fontId="0" fillId="0" borderId="0" xfId="0" applyAlignment="1">
      <alignment horizontal="center"/>
    </xf>
    <xf numFmtId="41" fontId="17" fillId="0" borderId="0" xfId="1" applyNumberFormat="1" applyFont="1" applyFill="1" applyAlignment="1">
      <alignment horizontal="center" vertical="top"/>
    </xf>
    <xf numFmtId="41" fontId="43" fillId="13" borderId="0" xfId="20" applyNumberFormat="1" applyFont="1" applyFill="1" applyAlignment="1">
      <alignment horizontal="center" vertical="top" shrinkToFit="1"/>
    </xf>
    <xf numFmtId="0" fontId="20" fillId="0" borderId="0" xfId="7" applyFont="1" applyAlignment="1">
      <alignment horizontal="left" vertical="top" shrinkToFit="1"/>
    </xf>
    <xf numFmtId="0" fontId="17" fillId="0" borderId="0" xfId="7" applyFont="1" applyAlignment="1">
      <alignment horizontal="center" vertical="top"/>
    </xf>
    <xf numFmtId="0" fontId="17" fillId="0" borderId="0" xfId="7" applyFont="1" applyAlignment="1">
      <alignment horizontal="left" vertical="top"/>
    </xf>
    <xf numFmtId="5" fontId="17" fillId="0" borderId="0" xfId="7" applyNumberFormat="1" applyFont="1" applyAlignment="1">
      <alignment horizontal="center" vertical="top"/>
    </xf>
    <xf numFmtId="5" fontId="17" fillId="0" borderId="26" xfId="1" applyNumberFormat="1" applyFont="1" applyFill="1" applyBorder="1" applyAlignment="1">
      <alignment horizontal="center" vertical="top"/>
    </xf>
    <xf numFmtId="0" fontId="17" fillId="0" borderId="0" xfId="7" applyFont="1" applyAlignment="1">
      <alignment horizontal="left" vertical="top" wrapText="1"/>
    </xf>
    <xf numFmtId="44" fontId="24" fillId="13" borderId="0" xfId="7" applyNumberFormat="1" applyFont="1" applyFill="1" applyAlignment="1">
      <alignment horizontal="center" vertical="top" wrapText="1"/>
    </xf>
    <xf numFmtId="0" fontId="25" fillId="13" borderId="0" xfId="7" applyFont="1" applyFill="1" applyAlignment="1">
      <alignment vertical="top" wrapText="1"/>
    </xf>
    <xf numFmtId="0" fontId="24" fillId="13" borderId="0" xfId="7" applyFont="1" applyFill="1" applyAlignment="1">
      <alignment horizontal="center" vertical="top" wrapText="1" shrinkToFit="1"/>
    </xf>
    <xf numFmtId="0" fontId="22" fillId="0" borderId="0" xfId="7" applyFont="1" applyAlignment="1">
      <alignment horizontal="left" vertical="top" wrapText="1"/>
    </xf>
    <xf numFmtId="44" fontId="20" fillId="13" borderId="0" xfId="7" applyNumberFormat="1" applyFont="1" applyFill="1" applyAlignment="1">
      <alignment horizontal="center" vertical="top" wrapText="1"/>
    </xf>
    <xf numFmtId="0" fontId="28" fillId="13" borderId="0" xfId="7" applyFont="1" applyFill="1" applyAlignment="1">
      <alignment horizontal="center" vertical="top" wrapText="1"/>
    </xf>
    <xf numFmtId="0" fontId="17" fillId="0" borderId="3" xfId="7" applyFont="1" applyBorder="1" applyAlignment="1">
      <alignment horizontal="left" vertical="top" wrapText="1"/>
    </xf>
    <xf numFmtId="0" fontId="17" fillId="0" borderId="22" xfId="7" applyFont="1" applyBorder="1" applyAlignment="1">
      <alignment horizontal="left" vertical="top" wrapText="1"/>
    </xf>
    <xf numFmtId="0" fontId="23" fillId="13" borderId="1" xfId="7" applyFont="1" applyFill="1" applyBorder="1" applyAlignment="1">
      <alignment horizontal="left" vertical="top" wrapText="1"/>
    </xf>
    <xf numFmtId="0" fontId="23" fillId="13" borderId="21" xfId="7" applyFont="1" applyFill="1" applyBorder="1" applyAlignment="1">
      <alignment horizontal="left" vertical="top" wrapText="1"/>
    </xf>
    <xf numFmtId="9" fontId="17" fillId="8" borderId="6" xfId="65" applyFont="1" applyFill="1" applyBorder="1" applyAlignment="1">
      <alignment horizontal="left" vertical="center" wrapText="1"/>
    </xf>
    <xf numFmtId="9" fontId="17" fillId="8" borderId="1" xfId="65" applyFont="1" applyFill="1" applyBorder="1" applyAlignment="1">
      <alignment horizontal="left" vertical="center" wrapText="1"/>
    </xf>
    <xf numFmtId="0" fontId="23" fillId="13" borderId="6" xfId="7" applyFont="1" applyFill="1" applyBorder="1" applyAlignment="1">
      <alignment horizontal="left" vertical="top" wrapText="1"/>
    </xf>
    <xf numFmtId="0" fontId="23" fillId="13" borderId="4" xfId="7" applyFont="1" applyFill="1" applyBorder="1" applyAlignment="1">
      <alignment horizontal="left" vertical="top" wrapText="1"/>
    </xf>
    <xf numFmtId="0" fontId="17" fillId="8" borderId="8" xfId="7" applyFont="1" applyFill="1" applyBorder="1" applyAlignment="1">
      <alignment vertical="top" wrapText="1"/>
    </xf>
    <xf numFmtId="0" fontId="17" fillId="8" borderId="22" xfId="7" applyFont="1" applyFill="1" applyBorder="1" applyAlignment="1">
      <alignment vertical="top" wrapText="1"/>
    </xf>
    <xf numFmtId="0" fontId="19" fillId="9" borderId="0" xfId="7" applyFont="1" applyFill="1" applyAlignment="1">
      <alignment horizontal="center" vertical="top" wrapText="1"/>
    </xf>
    <xf numFmtId="0" fontId="19" fillId="9" borderId="0" xfId="7" applyFont="1" applyFill="1" applyAlignment="1">
      <alignment horizontal="right" vertical="top" wrapText="1"/>
    </xf>
    <xf numFmtId="9" fontId="17" fillId="7" borderId="1" xfId="18" applyFont="1" applyFill="1" applyBorder="1" applyAlignment="1">
      <alignment horizontal="left" vertical="top" wrapText="1"/>
    </xf>
  </cellXfs>
  <cellStyles count="105">
    <cellStyle name="Comma 2" xfId="67" xr:uid="{00000000-0005-0000-0000-000000000000}"/>
    <cellStyle name="Comma 2 2" xfId="68" xr:uid="{00000000-0005-0000-0000-000001000000}"/>
    <cellStyle name="Currency 2" xfId="20" xr:uid="{00000000-0005-0000-0000-000002000000}"/>
    <cellStyle name="Currency 2 2" xfId="1" xr:uid="{00000000-0005-0000-0000-000003000000}"/>
    <cellStyle name="Currency 2 3" xfId="21" xr:uid="{00000000-0005-0000-0000-000004000000}"/>
    <cellStyle name="Currency 2 4" xfId="22" xr:uid="{00000000-0005-0000-0000-000005000000}"/>
    <cellStyle name="Currency 2 5" xfId="23" xr:uid="{00000000-0005-0000-0000-000006000000}"/>
    <cellStyle name="Currency 2 6" xfId="24" xr:uid="{00000000-0005-0000-0000-000007000000}"/>
    <cellStyle name="Currency 2 7" xfId="25" xr:uid="{00000000-0005-0000-0000-000008000000}"/>
    <cellStyle name="Currency 2 8" xfId="26" xr:uid="{00000000-0005-0000-0000-000009000000}"/>
    <cellStyle name="Currency 28" xfId="69" xr:uid="{00000000-0005-0000-0000-00000A000000}"/>
    <cellStyle name="Currency 28 2" xfId="70" xr:uid="{00000000-0005-0000-0000-00000B000000}"/>
    <cellStyle name="Currency 28 3" xfId="71" xr:uid="{00000000-0005-0000-0000-00000C000000}"/>
    <cellStyle name="Currency 29" xfId="66" xr:uid="{00000000-0005-0000-0000-00000D000000}"/>
    <cellStyle name="Currency 29 2" xfId="72" xr:uid="{00000000-0005-0000-0000-00000E000000}"/>
    <cellStyle name="Currency 29 3" xfId="73" xr:uid="{00000000-0005-0000-0000-00000F000000}"/>
    <cellStyle name="Currency 3" xfId="2" xr:uid="{00000000-0005-0000-0000-000010000000}"/>
    <cellStyle name="Currency 3 2" xfId="27" xr:uid="{00000000-0005-0000-0000-000011000000}"/>
    <cellStyle name="Currency 3 3" xfId="74" xr:uid="{00000000-0005-0000-0000-000012000000}"/>
    <cellStyle name="Currency 30" xfId="75" xr:uid="{00000000-0005-0000-0000-000013000000}"/>
    <cellStyle name="Currency 30 2" xfId="76" xr:uid="{00000000-0005-0000-0000-000014000000}"/>
    <cellStyle name="Currency 31" xfId="77" xr:uid="{00000000-0005-0000-0000-000015000000}"/>
    <cellStyle name="Currency 31 2" xfId="78" xr:uid="{00000000-0005-0000-0000-000016000000}"/>
    <cellStyle name="Currency 32" xfId="79" xr:uid="{00000000-0005-0000-0000-000017000000}"/>
    <cellStyle name="Currency 32 2" xfId="80" xr:uid="{00000000-0005-0000-0000-000018000000}"/>
    <cellStyle name="Currency 33" xfId="81" xr:uid="{00000000-0005-0000-0000-000019000000}"/>
    <cellStyle name="Currency 34" xfId="82" xr:uid="{00000000-0005-0000-0000-00001A000000}"/>
    <cellStyle name="Currency 4" xfId="3" xr:uid="{00000000-0005-0000-0000-00001B000000}"/>
    <cellStyle name="Currency 4 2" xfId="28" xr:uid="{00000000-0005-0000-0000-00001C000000}"/>
    <cellStyle name="Hyperlink 2" xfId="29" xr:uid="{00000000-0005-0000-0000-00001D000000}"/>
    <cellStyle name="Normal" xfId="0" builtinId="0"/>
    <cellStyle name="Normal 10" xfId="4" xr:uid="{00000000-0005-0000-0000-00001F000000}"/>
    <cellStyle name="Normal 10 2" xfId="83" xr:uid="{00000000-0005-0000-0000-000020000000}"/>
    <cellStyle name="Normal 11" xfId="101" xr:uid="{00000000-0005-0000-0000-000021000000}"/>
    <cellStyle name="Normal 16 2" xfId="84" xr:uid="{00000000-0005-0000-0000-000022000000}"/>
    <cellStyle name="Normal 2" xfId="5" xr:uid="{00000000-0005-0000-0000-000023000000}"/>
    <cellStyle name="Normal 2 2" xfId="6" xr:uid="{00000000-0005-0000-0000-000024000000}"/>
    <cellStyle name="Normal 2 2 2" xfId="7" xr:uid="{00000000-0005-0000-0000-000025000000}"/>
    <cellStyle name="Normal 2 2 3" xfId="31" xr:uid="{00000000-0005-0000-0000-000026000000}"/>
    <cellStyle name="Normal 2 2 4" xfId="32" xr:uid="{00000000-0005-0000-0000-000027000000}"/>
    <cellStyle name="Normal 2 2 5" xfId="33" xr:uid="{00000000-0005-0000-0000-000028000000}"/>
    <cellStyle name="Normal 2 2 6" xfId="34" xr:uid="{00000000-0005-0000-0000-000029000000}"/>
    <cellStyle name="Normal 2 2 7" xfId="35" xr:uid="{00000000-0005-0000-0000-00002A000000}"/>
    <cellStyle name="Normal 2 3" xfId="8" xr:uid="{00000000-0005-0000-0000-00002B000000}"/>
    <cellStyle name="Normal 2 4" xfId="9" xr:uid="{00000000-0005-0000-0000-00002C000000}"/>
    <cellStyle name="Normal 2 4 2" xfId="36" xr:uid="{00000000-0005-0000-0000-00002D000000}"/>
    <cellStyle name="Normal 2 5" xfId="10" xr:uid="{00000000-0005-0000-0000-00002E000000}"/>
    <cellStyle name="Normal 2 5 2" xfId="37" xr:uid="{00000000-0005-0000-0000-00002F000000}"/>
    <cellStyle name="Normal 2 6" xfId="30" xr:uid="{00000000-0005-0000-0000-000030000000}"/>
    <cellStyle name="Normal 2 6 2" xfId="38" xr:uid="{00000000-0005-0000-0000-000031000000}"/>
    <cellStyle name="Normal 2 7" xfId="39" xr:uid="{00000000-0005-0000-0000-000032000000}"/>
    <cellStyle name="Normal 2 8" xfId="40" xr:uid="{00000000-0005-0000-0000-000033000000}"/>
    <cellStyle name="Normal 2 9" xfId="102" xr:uid="{00000000-0005-0000-0000-000034000000}"/>
    <cellStyle name="Normal 27 2" xfId="85" xr:uid="{00000000-0005-0000-0000-000035000000}"/>
    <cellStyle name="Normal 28 2" xfId="86" xr:uid="{00000000-0005-0000-0000-000036000000}"/>
    <cellStyle name="Normal 28 3" xfId="87" xr:uid="{00000000-0005-0000-0000-000037000000}"/>
    <cellStyle name="Normal 3" xfId="63" xr:uid="{00000000-0005-0000-0000-000038000000}"/>
    <cellStyle name="Normal 3 2" xfId="11" xr:uid="{00000000-0005-0000-0000-000039000000}"/>
    <cellStyle name="Normal 3 2 2" xfId="42" xr:uid="{00000000-0005-0000-0000-00003A000000}"/>
    <cellStyle name="Normal 3 3" xfId="41" xr:uid="{00000000-0005-0000-0000-00003B000000}"/>
    <cellStyle name="Normal 3 3 2" xfId="43" xr:uid="{00000000-0005-0000-0000-00003C000000}"/>
    <cellStyle name="Normal 3 3 3" xfId="103" xr:uid="{00000000-0005-0000-0000-00003D000000}"/>
    <cellStyle name="Normal 3 4" xfId="44" xr:uid="{00000000-0005-0000-0000-00003E000000}"/>
    <cellStyle name="Normal 3 5" xfId="45" xr:uid="{00000000-0005-0000-0000-00003F000000}"/>
    <cellStyle name="Normal 3 6" xfId="46" xr:uid="{00000000-0005-0000-0000-000040000000}"/>
    <cellStyle name="Normal 3 7" xfId="47" xr:uid="{00000000-0005-0000-0000-000041000000}"/>
    <cellStyle name="Normal 3 8" xfId="48" xr:uid="{00000000-0005-0000-0000-000042000000}"/>
    <cellStyle name="Normal 4" xfId="12" xr:uid="{00000000-0005-0000-0000-000043000000}"/>
    <cellStyle name="Normal 4 2" xfId="49" xr:uid="{00000000-0005-0000-0000-000044000000}"/>
    <cellStyle name="Normal 4 3" xfId="50" xr:uid="{00000000-0005-0000-0000-000045000000}"/>
    <cellStyle name="Normal 4 4" xfId="51" xr:uid="{00000000-0005-0000-0000-000046000000}"/>
    <cellStyle name="Normal 4 5" xfId="52" xr:uid="{00000000-0005-0000-0000-000047000000}"/>
    <cellStyle name="Normal 4 6" xfId="53" xr:uid="{00000000-0005-0000-0000-000048000000}"/>
    <cellStyle name="Normal 4 7" xfId="54" xr:uid="{00000000-0005-0000-0000-000049000000}"/>
    <cellStyle name="Normal 5" xfId="13" xr:uid="{00000000-0005-0000-0000-00004A000000}"/>
    <cellStyle name="Normal 6" xfId="14" xr:uid="{00000000-0005-0000-0000-00004B000000}"/>
    <cellStyle name="Normal 6 2" xfId="55" xr:uid="{00000000-0005-0000-0000-00004C000000}"/>
    <cellStyle name="Normal 7" xfId="15" xr:uid="{00000000-0005-0000-0000-00004D000000}"/>
    <cellStyle name="Normal 8" xfId="16" xr:uid="{00000000-0005-0000-0000-00004E000000}"/>
    <cellStyle name="Normal 8 2" xfId="56" xr:uid="{00000000-0005-0000-0000-00004F000000}"/>
    <cellStyle name="Normal 8 2 2" xfId="104" xr:uid="{00000000-0005-0000-0000-000050000000}"/>
    <cellStyle name="Normal 9" xfId="17" xr:uid="{00000000-0005-0000-0000-000051000000}"/>
    <cellStyle name="Percent 10" xfId="88" xr:uid="{00000000-0005-0000-0000-000052000000}"/>
    <cellStyle name="Percent 10 2" xfId="89" xr:uid="{00000000-0005-0000-0000-000053000000}"/>
    <cellStyle name="Percent 11" xfId="65" xr:uid="{00000000-0005-0000-0000-000054000000}"/>
    <cellStyle name="Percent 11 2" xfId="90" xr:uid="{00000000-0005-0000-0000-000055000000}"/>
    <cellStyle name="Percent 12" xfId="91" xr:uid="{00000000-0005-0000-0000-000056000000}"/>
    <cellStyle name="Percent 13" xfId="92" xr:uid="{00000000-0005-0000-0000-000057000000}"/>
    <cellStyle name="Percent 2" xfId="64" xr:uid="{00000000-0005-0000-0000-000058000000}"/>
    <cellStyle name="Percent 2 2" xfId="18" xr:uid="{00000000-0005-0000-0000-000059000000}"/>
    <cellStyle name="Percent 2 3" xfId="57" xr:uid="{00000000-0005-0000-0000-00005A000000}"/>
    <cellStyle name="Percent 2 4" xfId="58" xr:uid="{00000000-0005-0000-0000-00005B000000}"/>
    <cellStyle name="Percent 2 5" xfId="59" xr:uid="{00000000-0005-0000-0000-00005C000000}"/>
    <cellStyle name="Percent 2 6" xfId="60" xr:uid="{00000000-0005-0000-0000-00005D000000}"/>
    <cellStyle name="Percent 2 7" xfId="61" xr:uid="{00000000-0005-0000-0000-00005E000000}"/>
    <cellStyle name="Percent 2 8" xfId="62" xr:uid="{00000000-0005-0000-0000-00005F000000}"/>
    <cellStyle name="Percent 3" xfId="19" xr:uid="{00000000-0005-0000-0000-000060000000}"/>
    <cellStyle name="Percent 7" xfId="93" xr:uid="{00000000-0005-0000-0000-000061000000}"/>
    <cellStyle name="Percent 7 2" xfId="94" xr:uid="{00000000-0005-0000-0000-000062000000}"/>
    <cellStyle name="Percent 7 3" xfId="95" xr:uid="{00000000-0005-0000-0000-000063000000}"/>
    <cellStyle name="Percent 8" xfId="96" xr:uid="{00000000-0005-0000-0000-000064000000}"/>
    <cellStyle name="Percent 8 2" xfId="97" xr:uid="{00000000-0005-0000-0000-000065000000}"/>
    <cellStyle name="Percent 8 3" xfId="98" xr:uid="{00000000-0005-0000-0000-000066000000}"/>
    <cellStyle name="Percent 9" xfId="99" xr:uid="{00000000-0005-0000-0000-000067000000}"/>
    <cellStyle name="Percent 9 2" xfId="100" xr:uid="{00000000-0005-0000-0000-000068000000}"/>
  </cellStyles>
  <dxfs count="28">
    <dxf>
      <fill>
        <patternFill>
          <bgColor rgb="FFFF0000"/>
        </patternFill>
      </fill>
    </dxf>
    <dxf>
      <fill>
        <patternFill>
          <bgColor rgb="FFFF0000"/>
        </patternFill>
      </fill>
    </dxf>
    <dxf>
      <font>
        <b/>
        <i val="0"/>
        <color auto="1"/>
      </font>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ont>
        <b/>
        <i val="0"/>
        <color auto="1"/>
      </font>
      <fill>
        <patternFill>
          <bgColor rgb="FFFF0000"/>
        </patternFill>
      </fill>
    </dxf>
    <dxf>
      <font>
        <b/>
        <i val="0"/>
        <condense val="0"/>
        <extend val="0"/>
        <color indexed="10"/>
      </font>
      <fill>
        <patternFill>
          <bgColor indexed="13"/>
        </patternFill>
      </fill>
    </dxf>
    <dxf>
      <fill>
        <patternFill>
          <bgColor indexed="10"/>
        </patternFill>
      </fill>
    </dxf>
    <dxf>
      <fill>
        <patternFill>
          <bgColor indexed="10"/>
        </patternFill>
      </fill>
    </dxf>
    <dxf>
      <font>
        <color auto="1"/>
      </font>
      <fill>
        <patternFill>
          <bgColor rgb="FFFFFF00"/>
        </patternFill>
      </fill>
      <border>
        <left style="thin">
          <color auto="1"/>
        </left>
        <right style="thin">
          <color auto="1"/>
        </right>
        <top style="thin">
          <color auto="1"/>
        </top>
        <bottom style="thin">
          <color auto="1"/>
        </bottom>
        <vertical/>
        <horizontal/>
      </border>
    </dxf>
    <dxf>
      <font>
        <color auto="1"/>
      </font>
      <fill>
        <patternFill>
          <bgColor rgb="FFFFFF00"/>
        </patternFill>
      </fill>
      <border>
        <left style="thin">
          <color auto="1"/>
        </left>
        <right style="thin">
          <color auto="1"/>
        </right>
        <top style="thin">
          <color auto="1"/>
        </top>
        <bottom style="thin">
          <color auto="1"/>
        </bottom>
        <vertical/>
        <horizontal/>
      </border>
    </dxf>
    <dxf>
      <fill>
        <patternFill>
          <bgColor theme="0"/>
        </patternFill>
      </fill>
    </dxf>
    <dxf>
      <fill>
        <patternFill>
          <bgColor theme="0"/>
        </patternFill>
      </fill>
      <border>
        <vertical/>
        <horizontal/>
      </border>
    </dxf>
    <dxf>
      <fill>
        <patternFill>
          <bgColor theme="0"/>
        </patternFill>
      </fill>
    </dxf>
    <dxf>
      <border>
        <bottom/>
        <vertical/>
        <horizontal/>
      </border>
    </dxf>
    <dxf>
      <fill>
        <patternFill>
          <bgColor rgb="FFFFC000"/>
        </patternFill>
      </fill>
    </dxf>
    <dxf>
      <fill>
        <patternFill>
          <bgColor rgb="FFFFC000"/>
        </patternFill>
      </fill>
    </dxf>
    <dxf>
      <font>
        <b/>
        <i val="0"/>
        <color rgb="FFFF0000"/>
      </font>
    </dxf>
    <dxf>
      <font>
        <b val="0"/>
        <i val="0"/>
        <color theme="0"/>
      </font>
      <fill>
        <patternFill>
          <bgColor theme="0"/>
        </patternFill>
      </fill>
      <border>
        <left style="thin">
          <color auto="1"/>
        </left>
        <right/>
        <top/>
        <bottom/>
      </border>
    </dxf>
    <dxf>
      <fill>
        <patternFill patternType="none">
          <bgColor auto="1"/>
        </patternFill>
      </fill>
    </dxf>
    <dxf>
      <font>
        <color theme="0"/>
      </font>
    </dxf>
    <dxf>
      <font>
        <b/>
        <i val="0"/>
        <color rgb="FFFF0000"/>
      </font>
    </dxf>
    <dxf>
      <fill>
        <patternFill patternType="none">
          <bgColor auto="1"/>
        </patternFill>
      </fill>
    </dxf>
    <dxf>
      <fill>
        <patternFill>
          <fgColor rgb="FFFAE100"/>
          <bgColor rgb="FFFFFF99"/>
        </patternFill>
      </fill>
      <border>
        <left style="thin">
          <color auto="1"/>
        </left>
        <right style="thin">
          <color auto="1"/>
        </right>
        <top style="thin">
          <color auto="1"/>
        </top>
        <bottom style="thin">
          <color auto="1"/>
        </bottom>
        <vertical/>
        <horizontal/>
      </border>
    </dxf>
    <dxf>
      <fill>
        <patternFill>
          <bgColor rgb="FFFFC000"/>
        </patternFill>
      </fill>
    </dxf>
    <dxf>
      <fill>
        <patternFill>
          <bgColor rgb="FFFFC000"/>
        </patternFill>
      </fill>
    </dxf>
  </dxfs>
  <tableStyles count="0" defaultTableStyle="TableStyleMedium9" defaultPivotStyle="PivotStyleLight16"/>
  <colors>
    <mruColors>
      <color rgb="FFFFFF99"/>
      <color rgb="FF002060"/>
      <color rgb="FFFAE100"/>
      <color rgb="FF9BC832"/>
      <color rgb="FFE60050"/>
      <color rgb="FF00FF00"/>
      <color rgb="FF3059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trlProps/ctrlProp1.xml><?xml version="1.0" encoding="utf-8"?>
<formControlPr xmlns="http://schemas.microsoft.com/office/spreadsheetml/2009/9/main" objectType="Drop" dropLines="23" dropStyle="combo" dx="16" fmlaLink="$W$18" fmlaRange="$X$2:$X$26" noThreeD="1" sel="25"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image" Target="../media/image7.emf"/><Relationship Id="rId4"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3</xdr:col>
      <xdr:colOff>85725</xdr:colOff>
      <xdr:row>40</xdr:row>
      <xdr:rowOff>104775</xdr:rowOff>
    </xdr:from>
    <xdr:to>
      <xdr:col>3</xdr:col>
      <xdr:colOff>866775</xdr:colOff>
      <xdr:row>40</xdr:row>
      <xdr:rowOff>106363</xdr:rowOff>
    </xdr:to>
    <xdr:cxnSp macro="">
      <xdr:nvCxnSpPr>
        <xdr:cNvPr id="15" name="Straight Arrow Connector 14">
          <a:extLst>
            <a:ext uri="{FF2B5EF4-FFF2-40B4-BE49-F238E27FC236}">
              <a16:creationId xmlns:a16="http://schemas.microsoft.com/office/drawing/2014/main" id="{00000000-0008-0000-0000-00000F000000}"/>
            </a:ext>
          </a:extLst>
        </xdr:cNvPr>
        <xdr:cNvCxnSpPr/>
      </xdr:nvCxnSpPr>
      <xdr:spPr>
        <a:xfrm>
          <a:off x="2800350" y="6229350"/>
          <a:ext cx="781050" cy="1588"/>
        </a:xfrm>
        <a:prstGeom prst="straightConnector1">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7</xdr:col>
      <xdr:colOff>201707</xdr:colOff>
      <xdr:row>1</xdr:row>
      <xdr:rowOff>44824</xdr:rowOff>
    </xdr:from>
    <xdr:to>
      <xdr:col>8</xdr:col>
      <xdr:colOff>798980</xdr:colOff>
      <xdr:row>6</xdr:row>
      <xdr:rowOff>162210</xdr:rowOff>
    </xdr:to>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5442" y="246530"/>
          <a:ext cx="1504950" cy="112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123265</xdr:colOff>
      <xdr:row>35</xdr:row>
      <xdr:rowOff>100849</xdr:rowOff>
    </xdr:from>
    <xdr:to>
      <xdr:col>5</xdr:col>
      <xdr:colOff>858725</xdr:colOff>
      <xdr:row>65</xdr:row>
      <xdr:rowOff>242090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l="2266"/>
        <a:stretch/>
      </xdr:blipFill>
      <xdr:spPr>
        <a:xfrm>
          <a:off x="123265" y="5266761"/>
          <a:ext cx="5329872" cy="7895711"/>
        </a:xfrm>
        <a:prstGeom prst="rect">
          <a:avLst/>
        </a:prstGeom>
      </xdr:spPr>
    </xdr:pic>
    <xdr:clientData/>
  </xdr:twoCellAnchor>
  <xdr:twoCellAnchor editAs="oneCell">
    <xdr:from>
      <xdr:col>4</xdr:col>
      <xdr:colOff>602876</xdr:colOff>
      <xdr:row>61</xdr:row>
      <xdr:rowOff>187139</xdr:rowOff>
    </xdr:from>
    <xdr:to>
      <xdr:col>6</xdr:col>
      <xdr:colOff>717176</xdr:colOff>
      <xdr:row>63</xdr:row>
      <xdr:rowOff>126626</xdr:rowOff>
    </xdr:to>
    <xdr:pic>
      <xdr:nvPicPr>
        <xdr:cNvPr id="5125" name="Picture 5">
          <a:extLst>
            <a:ext uri="{FF2B5EF4-FFF2-40B4-BE49-F238E27FC236}">
              <a16:creationId xmlns:a16="http://schemas.microsoft.com/office/drawing/2014/main" id="{00000000-0008-0000-0100-0000051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8405" y="12054168"/>
          <a:ext cx="1952065" cy="477370"/>
        </a:xfrm>
        <a:prstGeom prst="rect">
          <a:avLst/>
        </a:prstGeom>
        <a:noFill/>
        <a:ln w="1">
          <a:noFill/>
          <a:miter lim="800000"/>
          <a:headEnd/>
          <a:tailEnd type="none" w="med" len="med"/>
        </a:ln>
        <a:effectLst/>
      </xdr:spPr>
    </xdr:pic>
    <xdr:clientData/>
  </xdr:twoCellAnchor>
  <xdr:twoCellAnchor editAs="oneCell">
    <xdr:from>
      <xdr:col>4</xdr:col>
      <xdr:colOff>625227</xdr:colOff>
      <xdr:row>54</xdr:row>
      <xdr:rowOff>98811</xdr:rowOff>
    </xdr:from>
    <xdr:to>
      <xdr:col>6</xdr:col>
      <xdr:colOff>806202</xdr:colOff>
      <xdr:row>61</xdr:row>
      <xdr:rowOff>117862</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300756" y="10161693"/>
          <a:ext cx="2018740" cy="1823198"/>
        </a:xfrm>
        <a:prstGeom prst="rect">
          <a:avLst/>
        </a:prstGeom>
        <a:noFill/>
      </xdr:spPr>
    </xdr:pic>
    <xdr:clientData/>
  </xdr:twoCellAnchor>
  <xdr:twoCellAnchor>
    <xdr:from>
      <xdr:col>4</xdr:col>
      <xdr:colOff>862854</xdr:colOff>
      <xdr:row>54</xdr:row>
      <xdr:rowOff>235324</xdr:rowOff>
    </xdr:from>
    <xdr:to>
      <xdr:col>6</xdr:col>
      <xdr:colOff>336177</xdr:colOff>
      <xdr:row>55</xdr:row>
      <xdr:rowOff>123265</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4538383" y="10298206"/>
          <a:ext cx="1311088" cy="145677"/>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773205</xdr:colOff>
          <xdr:row>54</xdr:row>
          <xdr:rowOff>224121</xdr:rowOff>
        </xdr:from>
        <xdr:to>
          <xdr:col>6</xdr:col>
          <xdr:colOff>448683</xdr:colOff>
          <xdr:row>55</xdr:row>
          <xdr:rowOff>228798</xdr:rowOff>
        </xdr:to>
        <xdr:pic>
          <xdr:nvPicPr>
            <xdr:cNvPr id="9" name="Picture 8">
              <a:extLst>
                <a:ext uri="{FF2B5EF4-FFF2-40B4-BE49-F238E27FC236}">
                  <a16:creationId xmlns:a16="http://schemas.microsoft.com/office/drawing/2014/main" id="{00000000-0008-0000-0100-000009000000}"/>
                </a:ext>
              </a:extLst>
            </xdr:cNvPr>
            <xdr:cNvPicPr>
              <a:picLocks noChangeAspect="1" noChangeArrowheads="1"/>
              <a:extLst>
                <a:ext uri="{84589F7E-364E-4C9E-8A38-B11213B215E9}">
                  <a14:cameraTool cellRange="$CA$51" spid="_x0000_s6298"/>
                </a:ext>
              </a:extLst>
            </xdr:cNvPicPr>
          </xdr:nvPicPr>
          <xdr:blipFill>
            <a:blip xmlns:r="http://schemas.openxmlformats.org/officeDocument/2006/relationships" r:embed="rId4"/>
            <a:srcRect/>
            <a:stretch>
              <a:fillRect/>
            </a:stretch>
          </xdr:blipFill>
          <xdr:spPr bwMode="auto">
            <a:xfrm>
              <a:off x="5367617" y="10287003"/>
              <a:ext cx="594360" cy="26241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xdr:col>
      <xdr:colOff>768726</xdr:colOff>
      <xdr:row>58</xdr:row>
      <xdr:rowOff>44823</xdr:rowOff>
    </xdr:from>
    <xdr:to>
      <xdr:col>5</xdr:col>
      <xdr:colOff>179295</xdr:colOff>
      <xdr:row>58</xdr:row>
      <xdr:rowOff>129988</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4444255" y="11138647"/>
          <a:ext cx="329452" cy="8516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560293</xdr:colOff>
          <xdr:row>57</xdr:row>
          <xdr:rowOff>224117</xdr:rowOff>
        </xdr:from>
        <xdr:to>
          <xdr:col>5</xdr:col>
          <xdr:colOff>235770</xdr:colOff>
          <xdr:row>58</xdr:row>
          <xdr:rowOff>228810</xdr:rowOff>
        </xdr:to>
        <xdr:pic>
          <xdr:nvPicPr>
            <xdr:cNvPr id="12" name="Picture 11">
              <a:extLst>
                <a:ext uri="{FF2B5EF4-FFF2-40B4-BE49-F238E27FC236}">
                  <a16:creationId xmlns:a16="http://schemas.microsoft.com/office/drawing/2014/main" id="{00000000-0008-0000-0100-00000C000000}"/>
                </a:ext>
              </a:extLst>
            </xdr:cNvPr>
            <xdr:cNvPicPr>
              <a:picLocks noChangeArrowheads="1"/>
              <a:extLst>
                <a:ext uri="{84589F7E-364E-4C9E-8A38-B11213B215E9}">
                  <a14:cameraTool cellRange="$CA$52" spid="_x0000_s6299"/>
                </a:ext>
              </a:extLst>
            </xdr:cNvPicPr>
          </xdr:nvPicPr>
          <xdr:blipFill>
            <a:blip xmlns:r="http://schemas.openxmlformats.org/officeDocument/2006/relationships" r:embed="rId5"/>
            <a:srcRect/>
            <a:stretch>
              <a:fillRect/>
            </a:stretch>
          </xdr:blipFill>
          <xdr:spPr bwMode="auto">
            <a:xfrm>
              <a:off x="4235822" y="11060205"/>
              <a:ext cx="594360" cy="26242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8</xdr:col>
      <xdr:colOff>425823</xdr:colOff>
      <xdr:row>1</xdr:row>
      <xdr:rowOff>89648</xdr:rowOff>
    </xdr:from>
    <xdr:to>
      <xdr:col>9</xdr:col>
      <xdr:colOff>707091</xdr:colOff>
      <xdr:row>5</xdr:row>
      <xdr:rowOff>184898</xdr:rowOff>
    </xdr:to>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76882" y="280148"/>
          <a:ext cx="12001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14</xdr:row>
          <xdr:rowOff>0</xdr:rowOff>
        </xdr:from>
        <xdr:to>
          <xdr:col>6</xdr:col>
          <xdr:colOff>857250</xdr:colOff>
          <xdr:row>14</xdr:row>
          <xdr:rowOff>200025</xdr:rowOff>
        </xdr:to>
        <xdr:sp macro="" textlink="">
          <xdr:nvSpPr>
            <xdr:cNvPr id="9218" name="Drop Down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361"/>
  <sheetViews>
    <sheetView showGridLines="0" tabSelected="1" zoomScaleNormal="100" workbookViewId="0">
      <selection activeCell="B10" sqref="B10:D10"/>
    </sheetView>
  </sheetViews>
  <sheetFormatPr defaultColWidth="9" defaultRowHeight="15"/>
  <cols>
    <col min="1" max="9" width="11.875" style="330" customWidth="1"/>
    <col min="10" max="10" width="9" style="330" customWidth="1"/>
    <col min="11" max="27" width="9" style="330" hidden="1" customWidth="1"/>
    <col min="28" max="28" width="9" style="330" customWidth="1"/>
    <col min="29" max="16384" width="9" style="330"/>
  </cols>
  <sheetData>
    <row r="1" spans="1:22" ht="15.75" customHeight="1">
      <c r="A1" s="434" t="s">
        <v>968</v>
      </c>
      <c r="B1" s="435"/>
      <c r="C1" s="435"/>
      <c r="D1" s="435"/>
      <c r="E1" s="435"/>
      <c r="F1" s="435"/>
      <c r="G1" s="435"/>
      <c r="H1" s="111"/>
      <c r="I1" s="112"/>
      <c r="O1" s="330">
        <v>0</v>
      </c>
      <c r="Q1" s="330">
        <f>IF(ISBLANK(B10),0,1)</f>
        <v>0</v>
      </c>
    </row>
    <row r="2" spans="1:22" ht="15.75" customHeight="1">
      <c r="A2" s="436"/>
      <c r="B2" s="437"/>
      <c r="C2" s="437"/>
      <c r="D2" s="437"/>
      <c r="E2" s="437"/>
      <c r="F2" s="437"/>
      <c r="G2" s="437"/>
      <c r="H2" s="114"/>
      <c r="I2" s="115"/>
      <c r="O2" s="330">
        <v>1</v>
      </c>
      <c r="Q2" s="330">
        <f>IF(ISBLANK(B12),0,1)</f>
        <v>0</v>
      </c>
    </row>
    <row r="3" spans="1:22" ht="15.75" customHeight="1">
      <c r="A3" s="436"/>
      <c r="B3" s="437"/>
      <c r="C3" s="437"/>
      <c r="D3" s="437"/>
      <c r="E3" s="437"/>
      <c r="F3" s="437"/>
      <c r="G3" s="437"/>
      <c r="H3" s="114"/>
      <c r="I3" s="115"/>
      <c r="M3" s="330" t="s">
        <v>71</v>
      </c>
      <c r="N3" s="330" t="s">
        <v>433</v>
      </c>
      <c r="O3" s="330">
        <v>2</v>
      </c>
      <c r="Q3" s="330">
        <f>IF(ISBLANK(F12),0,1)</f>
        <v>0</v>
      </c>
    </row>
    <row r="4" spans="1:22" ht="15.75" customHeight="1">
      <c r="A4" s="436"/>
      <c r="B4" s="437"/>
      <c r="C4" s="437"/>
      <c r="D4" s="437"/>
      <c r="E4" s="437"/>
      <c r="F4" s="437"/>
      <c r="G4" s="437"/>
      <c r="H4" s="114"/>
      <c r="I4" s="115"/>
      <c r="M4" s="330" t="s">
        <v>72</v>
      </c>
      <c r="N4" s="330" t="s">
        <v>434</v>
      </c>
      <c r="O4" s="330">
        <v>3</v>
      </c>
      <c r="P4" s="330">
        <v>0</v>
      </c>
      <c r="Q4" s="330">
        <f>IF(ISBLANK(D18),0,1)</f>
        <v>0</v>
      </c>
    </row>
    <row r="5" spans="1:22" ht="15.75" customHeight="1">
      <c r="A5" s="436"/>
      <c r="B5" s="437"/>
      <c r="C5" s="437"/>
      <c r="D5" s="437"/>
      <c r="E5" s="437"/>
      <c r="F5" s="437"/>
      <c r="G5" s="437"/>
      <c r="H5" s="114"/>
      <c r="I5" s="115"/>
      <c r="M5" s="330" t="str">
        <f>IF($A$52="Skip this line","","Yes")</f>
        <v>Yes</v>
      </c>
      <c r="N5" s="331" t="str">
        <f>IF(OR(AND($D$18&gt;816,OR($E$41="5S-SW",$E$41="5S-HW",$E$41="5S-EHW",$E$41="7S-SW",$E$41="7S-HW",$E$41="7S-EHW")),AND($D$18&gt;720,OR($E$41="4S-SW",$E$41="4S-HW",$E$41="4S-EHW",$E$41="6S-SW",$E$41="6S-HW",$E$41="6S-EHW"))),"Enter Yes for oversized cylinder.","")</f>
        <v/>
      </c>
      <c r="O5" s="330">
        <v>4</v>
      </c>
      <c r="P5" s="330">
        <v>1</v>
      </c>
      <c r="Q5" s="330">
        <f>IF(ISBLANK(D20),0,1)</f>
        <v>0</v>
      </c>
    </row>
    <row r="6" spans="1:22" ht="15.75" customHeight="1">
      <c r="A6" s="436"/>
      <c r="B6" s="437"/>
      <c r="C6" s="437"/>
      <c r="D6" s="437"/>
      <c r="E6" s="437"/>
      <c r="F6" s="437"/>
      <c r="G6" s="437"/>
      <c r="H6" s="114"/>
      <c r="I6" s="115"/>
      <c r="M6" s="330" t="str">
        <f>IF($A$52="Skip this line","","No")</f>
        <v>No</v>
      </c>
      <c r="N6" s="330" t="str">
        <f>IFERROR(IF(ABS(C69-D30)&gt;0.5,U7,""),"")</f>
        <v/>
      </c>
      <c r="O6" s="330">
        <v>5</v>
      </c>
      <c r="Q6" s="330">
        <f>IF(ISBLANK(D22),0,1)</f>
        <v>0</v>
      </c>
    </row>
    <row r="7" spans="1:22" ht="31.5" customHeight="1" thickBot="1">
      <c r="A7" s="113"/>
      <c r="B7" s="114"/>
      <c r="C7" s="114"/>
      <c r="D7" s="114"/>
      <c r="E7" s="316" t="s">
        <v>868</v>
      </c>
      <c r="F7" s="114"/>
      <c r="G7" s="114"/>
      <c r="H7" s="114"/>
      <c r="I7" s="115"/>
      <c r="M7" s="332" t="s">
        <v>82</v>
      </c>
      <c r="O7" s="330">
        <v>6</v>
      </c>
      <c r="Q7" s="330">
        <f>IF(ISBLANK(E41),0,1)</f>
        <v>0</v>
      </c>
      <c r="U7" s="357" t="s">
        <v>937</v>
      </c>
    </row>
    <row r="8" spans="1:22" ht="20.25" customHeight="1" thickBot="1">
      <c r="A8" s="394"/>
      <c r="B8" s="429" t="s">
        <v>947</v>
      </c>
      <c r="C8" s="429"/>
      <c r="D8" s="429"/>
      <c r="E8" s="429"/>
      <c r="F8" s="429"/>
      <c r="G8" s="429"/>
      <c r="H8" s="450" t="s">
        <v>974</v>
      </c>
      <c r="I8" s="451"/>
      <c r="M8" s="332" t="s">
        <v>498</v>
      </c>
      <c r="O8" s="330">
        <v>7</v>
      </c>
      <c r="Q8" s="330">
        <f>SUM(Q1:Q7)</f>
        <v>0</v>
      </c>
    </row>
    <row r="9" spans="1:22" ht="4.5" customHeight="1">
      <c r="A9" s="120"/>
      <c r="B9" s="116"/>
      <c r="C9" s="382"/>
      <c r="D9" s="382"/>
      <c r="E9" s="382"/>
      <c r="F9" s="382"/>
      <c r="G9" s="382"/>
      <c r="H9" s="116"/>
      <c r="I9" s="117"/>
      <c r="M9" s="332" t="s">
        <v>433</v>
      </c>
      <c r="O9" s="330">
        <v>8</v>
      </c>
    </row>
    <row r="10" spans="1:22" ht="15.75" customHeight="1">
      <c r="A10" s="107" t="s">
        <v>446</v>
      </c>
      <c r="B10" s="448"/>
      <c r="C10" s="449"/>
      <c r="D10" s="449"/>
      <c r="E10" s="108" t="s">
        <v>449</v>
      </c>
      <c r="F10" s="466"/>
      <c r="G10" s="467"/>
      <c r="H10" s="467"/>
      <c r="I10" s="121"/>
      <c r="M10" s="332" t="s">
        <v>434</v>
      </c>
      <c r="O10" s="330">
        <v>9</v>
      </c>
    </row>
    <row r="11" spans="1:22" ht="4.5" customHeight="1">
      <c r="A11" s="120"/>
      <c r="B11" s="122"/>
      <c r="C11" s="123"/>
      <c r="D11" s="123"/>
      <c r="E11" s="123"/>
      <c r="F11" s="382"/>
      <c r="G11" s="382"/>
      <c r="H11" s="116"/>
      <c r="I11" s="117"/>
      <c r="O11" s="330">
        <v>10</v>
      </c>
    </row>
    <row r="12" spans="1:22" ht="15.75" customHeight="1">
      <c r="A12" s="107" t="s">
        <v>448</v>
      </c>
      <c r="B12" s="448"/>
      <c r="C12" s="449"/>
      <c r="D12" s="449"/>
      <c r="E12" s="108" t="s">
        <v>447</v>
      </c>
      <c r="F12" s="448"/>
      <c r="G12" s="449"/>
      <c r="H12" s="449"/>
      <c r="I12" s="117"/>
    </row>
    <row r="13" spans="1:22" ht="4.5" customHeight="1" thickBot="1">
      <c r="A13" s="120"/>
      <c r="B13" s="116"/>
      <c r="C13" s="123"/>
      <c r="D13" s="123"/>
      <c r="E13" s="123"/>
      <c r="F13" s="382"/>
      <c r="G13" s="382"/>
      <c r="H13" s="116"/>
      <c r="I13" s="117"/>
    </row>
    <row r="14" spans="1:22" ht="20.25" customHeight="1" thickBot="1">
      <c r="A14" s="394"/>
      <c r="B14" s="395"/>
      <c r="C14" s="429" t="s">
        <v>451</v>
      </c>
      <c r="D14" s="429"/>
      <c r="E14" s="429"/>
      <c r="F14" s="429"/>
      <c r="G14" s="429"/>
      <c r="H14" s="395"/>
      <c r="I14" s="396"/>
    </row>
    <row r="15" spans="1:22" ht="4.5" customHeight="1">
      <c r="A15" s="124"/>
      <c r="B15" s="122"/>
      <c r="C15" s="122"/>
      <c r="D15" s="122"/>
      <c r="E15" s="122"/>
      <c r="F15" s="122"/>
      <c r="G15" s="122"/>
      <c r="H15" s="122"/>
      <c r="I15" s="121"/>
    </row>
    <row r="16" spans="1:22" ht="15.75" customHeight="1">
      <c r="A16" s="125"/>
      <c r="B16" s="316"/>
      <c r="C16" s="126"/>
      <c r="D16" s="114"/>
      <c r="E16" s="316" t="s">
        <v>963</v>
      </c>
      <c r="F16" s="126"/>
      <c r="G16" s="126"/>
      <c r="H16" s="126"/>
      <c r="I16" s="127"/>
      <c r="U16" s="330">
        <f>(((D30/2)*(D30/2)*3.14159*12)/231)*D28</f>
        <v>0</v>
      </c>
      <c r="V16" s="333" t="s">
        <v>460</v>
      </c>
    </row>
    <row r="17" spans="1:23" ht="4.5" customHeight="1">
      <c r="A17" s="125"/>
      <c r="B17" s="128"/>
      <c r="C17" s="128"/>
      <c r="D17" s="128"/>
      <c r="E17" s="128"/>
      <c r="F17" s="128"/>
      <c r="G17" s="128"/>
      <c r="H17" s="128"/>
      <c r="I17" s="127"/>
    </row>
    <row r="18" spans="1:23" ht="15.75" customHeight="1">
      <c r="A18" s="468" t="s">
        <v>870</v>
      </c>
      <c r="B18" s="441"/>
      <c r="C18" s="439"/>
      <c r="D18" s="407"/>
      <c r="E18" s="318" t="s">
        <v>469</v>
      </c>
      <c r="F18" s="374" t="str">
        <f>IF(D18&lt;&gt;"",D18/12,"")</f>
        <v/>
      </c>
      <c r="G18" s="122" t="str">
        <f>IF(D18&lt;&gt;"","  feet net travel","")</f>
        <v/>
      </c>
      <c r="H18" s="187"/>
      <c r="I18" s="188"/>
      <c r="U18" s="330" t="e">
        <f>U16/(((C69/2)*(C69/2)*3.14159*12)/231)</f>
        <v>#N/A</v>
      </c>
    </row>
    <row r="19" spans="1:23" ht="4.5" customHeight="1">
      <c r="A19" s="125"/>
      <c r="B19" s="128"/>
      <c r="C19" s="128"/>
      <c r="D19" s="128"/>
      <c r="E19" s="128"/>
      <c r="F19" s="187"/>
      <c r="G19" s="187"/>
      <c r="H19" s="187"/>
      <c r="I19" s="188"/>
    </row>
    <row r="20" spans="1:23" ht="15.75" customHeight="1">
      <c r="A20" s="440" t="s">
        <v>491</v>
      </c>
      <c r="B20" s="441"/>
      <c r="C20" s="439"/>
      <c r="D20" s="408"/>
      <c r="E20" s="130" t="s">
        <v>454</v>
      </c>
      <c r="F20" s="354"/>
      <c r="G20" s="382" t="s">
        <v>866</v>
      </c>
      <c r="I20" s="334"/>
      <c r="Q20" s="186">
        <v>1200</v>
      </c>
    </row>
    <row r="21" spans="1:23" ht="4.5" customHeight="1">
      <c r="A21" s="124"/>
      <c r="B21" s="128"/>
      <c r="C21" s="128"/>
      <c r="D21" s="128"/>
      <c r="E21" s="122"/>
      <c r="F21" s="122"/>
      <c r="G21" s="130"/>
      <c r="H21" s="130"/>
      <c r="I21" s="129"/>
      <c r="Q21" s="186">
        <v>1500</v>
      </c>
    </row>
    <row r="22" spans="1:23" ht="15.75" customHeight="1">
      <c r="A22" s="468" t="s">
        <v>864</v>
      </c>
      <c r="B22" s="441"/>
      <c r="C22" s="439"/>
      <c r="D22" s="409"/>
      <c r="G22" s="154">
        <f>SUM(D20,D22)</f>
        <v>0</v>
      </c>
      <c r="H22" s="308" t="s">
        <v>454</v>
      </c>
      <c r="I22" s="129"/>
      <c r="Q22" s="186">
        <v>2000</v>
      </c>
      <c r="V22" s="452"/>
      <c r="W22" s="452"/>
    </row>
    <row r="23" spans="1:23" ht="4.5" hidden="1" customHeight="1">
      <c r="A23" s="125"/>
      <c r="B23" s="128"/>
      <c r="C23" s="128"/>
      <c r="D23" s="128"/>
      <c r="E23" s="122"/>
      <c r="F23" s="305"/>
      <c r="G23" s="130"/>
      <c r="H23" s="130"/>
      <c r="I23" s="129"/>
      <c r="Q23" s="186">
        <v>2100</v>
      </c>
    </row>
    <row r="24" spans="1:23" ht="15.75" hidden="1" customHeight="1">
      <c r="A24" s="440"/>
      <c r="B24" s="441"/>
      <c r="C24" s="441"/>
      <c r="D24" s="382"/>
      <c r="E24" s="130"/>
      <c r="F24" s="130" t="s">
        <v>865</v>
      </c>
      <c r="G24" s="130"/>
      <c r="H24" s="130"/>
      <c r="I24" s="129"/>
      <c r="K24" s="330" t="s">
        <v>457</v>
      </c>
      <c r="Q24" s="186">
        <v>2500</v>
      </c>
    </row>
    <row r="25" spans="1:23" ht="4.5" customHeight="1">
      <c r="A25" s="125"/>
      <c r="B25" s="128"/>
      <c r="C25" s="128"/>
      <c r="D25" s="128"/>
      <c r="E25" s="122"/>
      <c r="I25" s="334"/>
      <c r="Q25" s="186">
        <v>3000</v>
      </c>
    </row>
    <row r="26" spans="1:23" ht="15.75" customHeight="1">
      <c r="A26" s="440" t="s">
        <v>73</v>
      </c>
      <c r="B26" s="441"/>
      <c r="C26" s="439"/>
      <c r="D26" s="410"/>
      <c r="E26" s="130"/>
      <c r="I26" s="334"/>
      <c r="Q26" s="186">
        <v>3500</v>
      </c>
    </row>
    <row r="27" spans="1:23" ht="6" customHeight="1">
      <c r="A27" s="125"/>
      <c r="B27" s="128"/>
      <c r="C27" s="128"/>
      <c r="D27" s="128"/>
      <c r="E27" s="122"/>
      <c r="F27" s="305"/>
      <c r="G27" s="305"/>
      <c r="H27" s="306"/>
      <c r="I27" s="307"/>
      <c r="Q27" s="186">
        <v>4000</v>
      </c>
    </row>
    <row r="28" spans="1:23" ht="15.75" customHeight="1">
      <c r="A28" s="440" t="s">
        <v>458</v>
      </c>
      <c r="B28" s="441"/>
      <c r="C28" s="439"/>
      <c r="D28" s="404"/>
      <c r="E28" s="122" t="s">
        <v>461</v>
      </c>
      <c r="F28" s="458" t="s">
        <v>471</v>
      </c>
      <c r="G28" s="458"/>
      <c r="H28" s="458"/>
      <c r="I28" s="459"/>
      <c r="Q28" s="186">
        <v>4500</v>
      </c>
    </row>
    <row r="29" spans="1:23" ht="6" customHeight="1">
      <c r="A29" s="125"/>
      <c r="B29" s="128"/>
      <c r="C29" s="128"/>
      <c r="D29" s="128"/>
      <c r="E29" s="122"/>
      <c r="F29" s="128"/>
      <c r="G29" s="128"/>
      <c r="H29" s="131"/>
      <c r="I29" s="127"/>
      <c r="Q29" s="186">
        <v>5000</v>
      </c>
    </row>
    <row r="30" spans="1:23" ht="15.75" customHeight="1">
      <c r="A30" s="438" t="s">
        <v>494</v>
      </c>
      <c r="B30" s="441"/>
      <c r="C30" s="439"/>
      <c r="D30" s="411"/>
      <c r="E30" s="122" t="s">
        <v>469</v>
      </c>
      <c r="G30" s="170" t="e">
        <f>U18</f>
        <v>#N/A</v>
      </c>
      <c r="H30" s="128" t="s">
        <v>461</v>
      </c>
      <c r="I30" s="127"/>
      <c r="Q30" s="330">
        <v>6000</v>
      </c>
    </row>
    <row r="31" spans="1:23" ht="6" customHeight="1">
      <c r="A31" s="125"/>
      <c r="B31" s="128"/>
      <c r="C31" s="128"/>
      <c r="D31" s="128"/>
      <c r="E31" s="122"/>
      <c r="F31" s="128"/>
      <c r="G31" s="128"/>
      <c r="H31" s="131"/>
      <c r="I31" s="127"/>
      <c r="Q31" s="330">
        <v>7000</v>
      </c>
    </row>
    <row r="32" spans="1:23" ht="15.75" customHeight="1">
      <c r="A32" s="440" t="s">
        <v>462</v>
      </c>
      <c r="B32" s="441"/>
      <c r="C32" s="439"/>
      <c r="D32" s="412"/>
      <c r="E32" s="122"/>
      <c r="F32" s="358" t="str">
        <f>IFERROR(IF(G30&gt;1.1*D28,"A New Power Unit May Be Required",IF(G30&lt;0.9*D28,"A New Power Unit May Be Required","")),"")</f>
        <v/>
      </c>
      <c r="G32" s="316"/>
      <c r="H32" s="316"/>
      <c r="I32" s="127"/>
      <c r="K32" s="335"/>
      <c r="Q32" s="330">
        <v>8000</v>
      </c>
    </row>
    <row r="33" spans="1:37" ht="6" customHeight="1">
      <c r="A33" s="125"/>
      <c r="B33" s="128"/>
      <c r="C33" s="128"/>
      <c r="D33" s="128"/>
      <c r="E33" s="134"/>
      <c r="F33" s="128"/>
      <c r="G33" s="128"/>
      <c r="H33" s="131"/>
      <c r="I33" s="127"/>
      <c r="Q33" s="330">
        <v>9000</v>
      </c>
    </row>
    <row r="34" spans="1:37" ht="15.75" customHeight="1">
      <c r="A34" s="477" t="str">
        <f>IF(D32="Yes","Include existing Dover/TKE Job # here:","")</f>
        <v/>
      </c>
      <c r="B34" s="478"/>
      <c r="C34" s="478"/>
      <c r="D34" s="376"/>
      <c r="E34" s="336" t="s">
        <v>513</v>
      </c>
      <c r="F34" s="460" t="s">
        <v>512</v>
      </c>
      <c r="G34" s="461"/>
      <c r="H34" s="461"/>
      <c r="I34" s="462"/>
      <c r="Q34" s="330">
        <v>10000</v>
      </c>
    </row>
    <row r="35" spans="1:37" ht="6" customHeight="1">
      <c r="A35" s="125"/>
      <c r="B35" s="128"/>
      <c r="C35" s="128"/>
      <c r="D35" s="128"/>
      <c r="E35" s="337"/>
      <c r="F35" s="461"/>
      <c r="G35" s="461"/>
      <c r="H35" s="461"/>
      <c r="I35" s="462"/>
    </row>
    <row r="36" spans="1:37" ht="15.75" customHeight="1" thickBot="1">
      <c r="A36" s="125"/>
      <c r="B36" s="128"/>
      <c r="C36" s="128"/>
      <c r="D36" s="128"/>
      <c r="E36" s="338"/>
      <c r="F36" s="463"/>
      <c r="G36" s="463"/>
      <c r="H36" s="463"/>
      <c r="I36" s="464"/>
      <c r="AB36" s="430"/>
      <c r="AC36" s="430"/>
      <c r="AD36" s="430"/>
      <c r="AE36" s="430"/>
    </row>
    <row r="37" spans="1:37" ht="20.25" customHeight="1" thickBot="1">
      <c r="A37" s="394"/>
      <c r="B37" s="395"/>
      <c r="C37" s="429" t="s">
        <v>492</v>
      </c>
      <c r="D37" s="429"/>
      <c r="E37" s="429"/>
      <c r="F37" s="429"/>
      <c r="G37" s="429"/>
      <c r="H37" s="395"/>
      <c r="I37" s="396"/>
      <c r="AB37" s="430"/>
      <c r="AC37" s="430"/>
      <c r="AD37" s="430"/>
      <c r="AE37" s="430"/>
    </row>
    <row r="38" spans="1:37" ht="20.25" customHeight="1">
      <c r="A38" s="143"/>
      <c r="B38" s="144"/>
      <c r="C38" s="145"/>
      <c r="D38" s="145"/>
      <c r="E38" s="145"/>
      <c r="F38" s="145"/>
      <c r="G38" s="145"/>
      <c r="H38" s="144"/>
      <c r="I38" s="146"/>
      <c r="AB38" s="328"/>
      <c r="AC38" s="328"/>
      <c r="AD38" s="328"/>
      <c r="AE38" s="328"/>
    </row>
    <row r="39" spans="1:37" ht="20.25" customHeight="1">
      <c r="A39" s="455" t="s">
        <v>472</v>
      </c>
      <c r="B39" s="456"/>
      <c r="C39" s="456"/>
      <c r="D39" s="456"/>
      <c r="E39" s="456"/>
      <c r="F39" s="456"/>
      <c r="G39" s="456"/>
      <c r="H39" s="456"/>
      <c r="I39" s="457"/>
      <c r="AB39" s="328"/>
      <c r="AC39" s="328"/>
      <c r="AD39" s="328"/>
      <c r="AE39" s="328"/>
    </row>
    <row r="40" spans="1:37" ht="15.75" customHeight="1">
      <c r="A40" s="473"/>
      <c r="B40" s="474"/>
      <c r="C40" s="474"/>
      <c r="D40" s="474"/>
      <c r="E40" s="474"/>
      <c r="F40" s="474"/>
      <c r="G40" s="474"/>
      <c r="H40" s="474"/>
      <c r="I40" s="475"/>
      <c r="Z40" s="109"/>
      <c r="AA40" s="109"/>
      <c r="AB40" s="109"/>
    </row>
    <row r="41" spans="1:37" ht="15.75" customHeight="1">
      <c r="A41" s="120"/>
      <c r="B41" s="116"/>
      <c r="C41" s="317" t="s">
        <v>514</v>
      </c>
      <c r="D41" s="179"/>
      <c r="E41" s="412"/>
      <c r="F41" s="470" t="s">
        <v>949</v>
      </c>
      <c r="G41" s="470"/>
      <c r="H41" s="470"/>
      <c r="I41" s="471"/>
      <c r="J41" s="339"/>
      <c r="Z41" s="109"/>
      <c r="AA41" s="109"/>
      <c r="AB41" s="109"/>
    </row>
    <row r="42" spans="1:37" ht="4.5" customHeight="1">
      <c r="A42" s="339"/>
      <c r="E42" s="382"/>
      <c r="F42" s="470"/>
      <c r="G42" s="470"/>
      <c r="H42" s="470"/>
      <c r="I42" s="471"/>
      <c r="J42" s="339"/>
    </row>
    <row r="43" spans="1:37" ht="15.75" customHeight="1">
      <c r="A43" s="476" t="str">
        <f>N6</f>
        <v/>
      </c>
      <c r="B43" s="469"/>
      <c r="C43" s="469"/>
      <c r="D43" s="469"/>
      <c r="F43" s="470"/>
      <c r="G43" s="470"/>
      <c r="H43" s="470"/>
      <c r="I43" s="471"/>
      <c r="J43" s="339"/>
      <c r="AG43" s="378"/>
      <c r="AK43" s="328"/>
    </row>
    <row r="44" spans="1:37" ht="15.75" customHeight="1">
      <c r="A44" s="476"/>
      <c r="B44" s="469"/>
      <c r="C44" s="469"/>
      <c r="D44" s="469"/>
      <c r="F44" s="469" t="str">
        <f>N5</f>
        <v/>
      </c>
      <c r="G44" s="469"/>
      <c r="H44" s="469"/>
      <c r="I44" s="334"/>
      <c r="J44" s="379"/>
      <c r="K44"/>
      <c r="X44" s="348"/>
      <c r="Y44" s="348"/>
      <c r="Z44" s="348"/>
      <c r="AB44" s="340" t="s">
        <v>1</v>
      </c>
    </row>
    <row r="45" spans="1:37" ht="4.5" customHeight="1">
      <c r="A45" s="476"/>
      <c r="B45" s="469"/>
      <c r="C45" s="469"/>
      <c r="D45" s="469"/>
      <c r="I45" s="334"/>
      <c r="J45" s="339"/>
      <c r="AG45" s="126"/>
      <c r="AH45" s="119"/>
      <c r="AI45" s="119"/>
      <c r="AJ45" s="116"/>
      <c r="AK45" s="116"/>
    </row>
    <row r="46" spans="1:37" ht="15.75" customHeight="1">
      <c r="A46" s="476"/>
      <c r="B46" s="469"/>
      <c r="C46" s="469"/>
      <c r="D46" s="469"/>
      <c r="E46" s="443" t="str">
        <f>IF(G46="Required","Oversized Cylinder","Oversized Cylinder?")</f>
        <v>Oversized Cylinder?</v>
      </c>
      <c r="F46" s="465"/>
      <c r="G46" s="412"/>
      <c r="H46" s="328"/>
      <c r="I46" s="377"/>
      <c r="J46" s="339"/>
      <c r="K46" s="341"/>
      <c r="X46" s="349"/>
      <c r="Y46" s="349"/>
      <c r="Z46" s="349"/>
      <c r="AK46" s="116"/>
    </row>
    <row r="47" spans="1:37" ht="5.25" customHeight="1">
      <c r="A47" s="107"/>
      <c r="B47" s="108"/>
      <c r="C47" s="382"/>
      <c r="D47" s="382"/>
      <c r="I47" s="334"/>
      <c r="J47" s="339"/>
      <c r="AG47" s="126"/>
      <c r="AH47" s="119"/>
      <c r="AI47" s="119"/>
      <c r="AJ47" s="116"/>
      <c r="AK47" s="116"/>
    </row>
    <row r="48" spans="1:37" ht="15.75" customHeight="1">
      <c r="A48" s="453" t="s">
        <v>477</v>
      </c>
      <c r="B48" s="454"/>
      <c r="C48" s="410"/>
      <c r="D48" s="116"/>
      <c r="H48" s="122" t="str">
        <f>IF(G50="Yes","Type of platen?","")</f>
        <v/>
      </c>
      <c r="I48" s="334"/>
      <c r="J48" s="339"/>
      <c r="AK48" s="116"/>
    </row>
    <row r="49" spans="1:37" ht="4.5" customHeight="1">
      <c r="A49" s="107"/>
      <c r="B49" s="108"/>
      <c r="C49" s="382"/>
      <c r="D49" s="116"/>
      <c r="I49" s="334"/>
      <c r="J49" s="339"/>
      <c r="AK49" s="116"/>
    </row>
    <row r="50" spans="1:37" ht="15.75" customHeight="1">
      <c r="A50" s="339"/>
      <c r="C50" s="329" t="str">
        <f>IF(OR(C48=0, C48=""),"Number of sections is required for pricing","")</f>
        <v>Number of sections is required for pricing</v>
      </c>
      <c r="E50" s="443" t="s">
        <v>489</v>
      </c>
      <c r="F50" s="465"/>
      <c r="G50" s="410"/>
      <c r="H50" s="410" t="s">
        <v>82</v>
      </c>
      <c r="I50" s="334"/>
      <c r="J50" s="339"/>
      <c r="AK50" s="116"/>
    </row>
    <row r="51" spans="1:37" ht="4.5" customHeight="1">
      <c r="A51" s="381"/>
      <c r="B51" s="382"/>
      <c r="C51" s="382"/>
      <c r="D51" s="116"/>
      <c r="E51" s="132"/>
      <c r="F51" s="132"/>
      <c r="G51" s="175"/>
      <c r="H51" s="116"/>
      <c r="I51" s="334"/>
      <c r="J51" s="339"/>
      <c r="AG51" s="132"/>
      <c r="AH51" s="132"/>
      <c r="AI51" s="175"/>
      <c r="AJ51" s="116"/>
      <c r="AK51" s="116"/>
    </row>
    <row r="52" spans="1:37" ht="15.75" customHeight="1">
      <c r="A52" s="442" t="s">
        <v>515</v>
      </c>
      <c r="B52" s="465"/>
      <c r="C52" s="410"/>
      <c r="D52" s="122" t="str">
        <f>IF($C$48=1,"HDPE","PVC")</f>
        <v>PVC</v>
      </c>
      <c r="E52" s="443" t="s">
        <v>453</v>
      </c>
      <c r="F52" s="465"/>
      <c r="G52" s="350" t="s">
        <v>895</v>
      </c>
      <c r="H52" s="116"/>
      <c r="I52" s="334"/>
      <c r="J52" s="339"/>
    </row>
    <row r="53" spans="1:37" ht="4.5" customHeight="1">
      <c r="A53" s="381"/>
      <c r="B53" s="382"/>
      <c r="C53" s="382"/>
      <c r="D53" s="116"/>
      <c r="I53" s="334"/>
      <c r="J53" s="339"/>
    </row>
    <row r="54" spans="1:37" ht="15.75" customHeight="1">
      <c r="A54" s="442" t="s">
        <v>435</v>
      </c>
      <c r="B54" s="465"/>
      <c r="C54" s="350" t="s">
        <v>895</v>
      </c>
      <c r="D54" s="116"/>
      <c r="G54" s="140" t="s">
        <v>438</v>
      </c>
      <c r="H54" s="413" t="str">
        <f>IF(AND(Q8=7,C48&lt;&gt;""),'Hydro Group '!E16,"Enter Data")</f>
        <v>Enter Data</v>
      </c>
      <c r="I54" s="334"/>
      <c r="J54" s="339"/>
      <c r="AJ54" s="328"/>
    </row>
    <row r="55" spans="1:37" ht="5.25" customHeight="1">
      <c r="A55" s="381"/>
      <c r="B55" s="382"/>
      <c r="C55" s="382"/>
      <c r="D55" s="116"/>
      <c r="G55" s="328"/>
      <c r="H55" s="328"/>
      <c r="I55" s="334"/>
      <c r="J55" s="339"/>
      <c r="AJ55" s="328"/>
    </row>
    <row r="56" spans="1:37" ht="15.75" customHeight="1">
      <c r="A56" s="442" t="str">
        <f>IF(D32="Yes",IF(C58="Yes","","Piston Only?"),"")</f>
        <v/>
      </c>
      <c r="B56" s="443"/>
      <c r="C56" s="375"/>
      <c r="D56" s="116"/>
      <c r="G56" s="135" t="s">
        <v>885</v>
      </c>
      <c r="H56" s="413" t="str">
        <f>IF(AND(Q8=7,C48&lt;&gt;""),'Hydro Group '!E16-'Hydro Group '!E606,"Enter Data")</f>
        <v>Enter Data</v>
      </c>
      <c r="I56" s="334"/>
      <c r="J56" s="339"/>
      <c r="AJ56" s="328"/>
    </row>
    <row r="57" spans="1:37" ht="6" customHeight="1">
      <c r="A57" s="381"/>
      <c r="B57" s="382"/>
      <c r="C57" s="382"/>
      <c r="D57" s="116"/>
      <c r="G57" s="118"/>
      <c r="H57" s="116"/>
      <c r="I57" s="334"/>
      <c r="J57" s="339"/>
      <c r="AJ57" s="116"/>
    </row>
    <row r="58" spans="1:37" ht="15.75" customHeight="1">
      <c r="A58" s="442" t="str">
        <f>IF(D32="Yes",IF(C56="Yes","","Casing Only?"), "")</f>
        <v/>
      </c>
      <c r="B58" s="443"/>
      <c r="C58" s="375"/>
      <c r="D58" s="116"/>
      <c r="G58" s="140" t="s">
        <v>886</v>
      </c>
      <c r="H58" s="413" t="str">
        <f>IF(AND(Q8=7,C48&lt;&gt;""),'Hydro Group '!E606,"Enter Data")</f>
        <v>Enter Data</v>
      </c>
      <c r="I58" s="334"/>
      <c r="J58" s="339"/>
      <c r="AK58" s="116"/>
    </row>
    <row r="59" spans="1:37" ht="15.75" customHeight="1">
      <c r="B59" s="328"/>
      <c r="C59" s="328"/>
      <c r="D59" s="328"/>
      <c r="I59" s="334"/>
      <c r="J59" s="339"/>
    </row>
    <row r="60" spans="1:37" ht="4.5" customHeight="1">
      <c r="A60" s="428"/>
      <c r="B60" s="328"/>
      <c r="C60" s="328"/>
      <c r="D60" s="328"/>
      <c r="I60" s="334"/>
      <c r="J60" s="339"/>
    </row>
    <row r="61" spans="1:37" ht="20.25" customHeight="1">
      <c r="A61" s="476" t="s">
        <v>964</v>
      </c>
      <c r="B61" s="469"/>
      <c r="C61" s="469"/>
      <c r="D61" s="469"/>
      <c r="E61" s="469" t="s">
        <v>965</v>
      </c>
      <c r="F61" s="469"/>
      <c r="G61" s="469"/>
      <c r="H61" s="469"/>
      <c r="I61" s="472"/>
      <c r="J61" s="339"/>
    </row>
    <row r="62" spans="1:37" ht="15.75" customHeight="1">
      <c r="A62" s="476"/>
      <c r="B62" s="469"/>
      <c r="C62" s="469"/>
      <c r="D62" s="469"/>
      <c r="E62" s="469"/>
      <c r="F62" s="469"/>
      <c r="G62" s="469"/>
      <c r="H62" s="469"/>
      <c r="I62" s="472"/>
      <c r="J62" s="339"/>
    </row>
    <row r="63" spans="1:37" ht="15.75" customHeight="1">
      <c r="A63" s="476"/>
      <c r="B63" s="469"/>
      <c r="C63" s="469"/>
      <c r="D63" s="469"/>
      <c r="E63" s="469"/>
      <c r="F63" s="469"/>
      <c r="G63" s="469"/>
      <c r="H63" s="469"/>
      <c r="I63" s="472"/>
      <c r="J63" s="339"/>
    </row>
    <row r="64" spans="1:37" ht="4.5" customHeight="1">
      <c r="A64" s="476"/>
      <c r="B64" s="469"/>
      <c r="C64" s="469"/>
      <c r="D64" s="469"/>
      <c r="E64" s="469"/>
      <c r="F64" s="469"/>
      <c r="G64" s="469"/>
      <c r="H64" s="469"/>
      <c r="I64" s="472"/>
      <c r="J64" s="339"/>
    </row>
    <row r="65" spans="1:10" ht="15.75" customHeight="1">
      <c r="A65" s="476"/>
      <c r="B65" s="469"/>
      <c r="C65" s="469"/>
      <c r="D65" s="469"/>
      <c r="E65" s="469"/>
      <c r="F65" s="469"/>
      <c r="G65" s="469"/>
      <c r="H65" s="469"/>
      <c r="I65" s="472"/>
      <c r="J65" s="339"/>
    </row>
    <row r="66" spans="1:10" ht="4.5" customHeight="1" thickBot="1">
      <c r="A66" s="339"/>
      <c r="I66" s="334"/>
      <c r="J66" s="339"/>
    </row>
    <row r="67" spans="1:10" ht="15.75" customHeight="1" thickBot="1">
      <c r="A67" s="397"/>
      <c r="B67" s="398"/>
      <c r="C67" s="429" t="s">
        <v>450</v>
      </c>
      <c r="D67" s="429"/>
      <c r="E67" s="429"/>
      <c r="F67" s="429"/>
      <c r="G67" s="429"/>
      <c r="H67" s="398"/>
      <c r="I67" s="399"/>
      <c r="J67" s="339"/>
    </row>
    <row r="68" spans="1:10" ht="4.5" customHeight="1">
      <c r="A68" s="137"/>
      <c r="B68" s="126"/>
      <c r="C68" s="126"/>
      <c r="D68" s="126"/>
      <c r="E68" s="126"/>
      <c r="F68" s="126"/>
      <c r="G68" s="126"/>
      <c r="H68" s="126"/>
      <c r="I68" s="138"/>
      <c r="J68" s="339"/>
    </row>
    <row r="69" spans="1:10" ht="15.75" customHeight="1">
      <c r="A69" s="438" t="s">
        <v>495</v>
      </c>
      <c r="B69" s="439"/>
      <c r="C69" s="172" t="e">
        <f>VLOOKUP($E$41,JAXSAFAC!$E$962:$P$979,2,FALSE)</f>
        <v>#N/A</v>
      </c>
      <c r="D69" s="126" t="s">
        <v>469</v>
      </c>
      <c r="E69" s="444" t="s">
        <v>452</v>
      </c>
      <c r="F69" s="445"/>
      <c r="G69" s="170">
        <f>C48</f>
        <v>0</v>
      </c>
      <c r="H69" s="110" t="s">
        <v>436</v>
      </c>
      <c r="I69" s="355"/>
      <c r="J69" s="339"/>
    </row>
    <row r="70" spans="1:10" ht="4.5" customHeight="1">
      <c r="A70" s="137"/>
      <c r="B70" s="135"/>
      <c r="C70" s="140"/>
      <c r="D70" s="136"/>
      <c r="E70" s="126"/>
      <c r="F70" s="132"/>
      <c r="G70" s="132"/>
      <c r="H70" s="132"/>
      <c r="I70" s="138"/>
      <c r="J70" s="339"/>
    </row>
    <row r="71" spans="1:10" ht="15.75" customHeight="1">
      <c r="A71" s="440" t="s">
        <v>496</v>
      </c>
      <c r="B71" s="439"/>
      <c r="C71" s="172" t="e">
        <f>VLOOKUP($E$41,JAXSAFAC!$E$962:$P$979,3,FALSE)</f>
        <v>#N/A</v>
      </c>
      <c r="D71" s="126" t="s">
        <v>469</v>
      </c>
      <c r="I71" s="133"/>
      <c r="J71" s="339"/>
    </row>
    <row r="72" spans="1:10" ht="4.5" customHeight="1">
      <c r="A72" s="137"/>
      <c r="B72" s="135"/>
      <c r="C72" s="140"/>
      <c r="D72" s="136"/>
      <c r="I72" s="138"/>
    </row>
    <row r="73" spans="1:10" ht="15.75" customHeight="1">
      <c r="A73" s="438" t="s">
        <v>497</v>
      </c>
      <c r="B73" s="439"/>
      <c r="C73" s="172" t="e">
        <f>IF(OR($G$46="Yes",$G$46="Required"),VLOOKUP($E$41,JAXSAFAC!$E$962:$P$979,9,FALSE),VLOOKUP($E$41,JAXSAFAC!$E$962:$P$979,4,FALSE))</f>
        <v>#N/A</v>
      </c>
      <c r="D73" s="126" t="s">
        <v>469</v>
      </c>
      <c r="E73" s="446" t="s">
        <v>907</v>
      </c>
      <c r="F73" s="447"/>
      <c r="G73" s="174">
        <f>JAXSAFAC!K953</f>
        <v>6</v>
      </c>
      <c r="I73" s="138"/>
    </row>
    <row r="74" spans="1:10" ht="4.5" customHeight="1">
      <c r="A74" s="137"/>
      <c r="B74" s="135"/>
      <c r="C74" s="140"/>
      <c r="D74" s="136"/>
      <c r="I74" s="138"/>
    </row>
    <row r="75" spans="1:10" ht="15.75" customHeight="1">
      <c r="A75" s="440" t="s">
        <v>442</v>
      </c>
      <c r="B75" s="439"/>
      <c r="C75" s="172" t="e">
        <f>IF($C$48=1,"N/A",IF(OR($G$46="Yes",$G$46="Required"),VLOOKUP($E$41,JAXSAFAC!$E$962:$P$979,10,FALSE),VLOOKUP($E$41,JAXSAFAC!$E$962:$P$979,5,FALSE)))</f>
        <v>#N/A</v>
      </c>
      <c r="D75" s="126" t="s">
        <v>469</v>
      </c>
      <c r="E75" s="446" t="s">
        <v>908</v>
      </c>
      <c r="F75" s="447"/>
      <c r="G75" s="174">
        <f>JAXSAFAC!K954</f>
        <v>10</v>
      </c>
      <c r="I75" s="133"/>
    </row>
    <row r="76" spans="1:10" ht="4.5" customHeight="1">
      <c r="A76" s="137"/>
      <c r="B76" s="135"/>
      <c r="C76" s="140"/>
      <c r="D76" s="136"/>
      <c r="I76" s="138"/>
    </row>
    <row r="77" spans="1:10" ht="15.75" customHeight="1">
      <c r="A77" s="440" t="s">
        <v>443</v>
      </c>
      <c r="B77" s="439"/>
      <c r="C77" s="172" t="e">
        <f>VLOOKUP($E$41,JAXSAFAC!$E$962:$P$979,6,FALSE)</f>
        <v>#N/A</v>
      </c>
      <c r="D77" s="126" t="s">
        <v>469</v>
      </c>
      <c r="E77" s="441" t="s">
        <v>909</v>
      </c>
      <c r="F77" s="439"/>
      <c r="G77" s="174">
        <f>D18+G73+G75</f>
        <v>16</v>
      </c>
      <c r="H77" s="318" t="s">
        <v>469</v>
      </c>
      <c r="I77" s="133"/>
    </row>
    <row r="78" spans="1:10" ht="4.5" customHeight="1">
      <c r="A78" s="380"/>
      <c r="B78" s="140"/>
      <c r="C78" s="173"/>
      <c r="D78" s="136"/>
      <c r="I78" s="133"/>
    </row>
    <row r="79" spans="1:10" ht="15.75" customHeight="1">
      <c r="A79" s="438" t="str">
        <f>IF(AND($C$52="Yes",$D$52="HDPE"),"HDPE Cylinder OD",IF(AND($C$52="Yes",$D$52="PVC"),"PVC Cylinder OD","N/A"))</f>
        <v>N/A</v>
      </c>
      <c r="B79" s="439"/>
      <c r="C79" s="172" t="str">
        <f>IF(OR($C$52="",$C$52="No"),"N/A",IF(AND($C$52="Yes",OR($G$46="Yes",$G$46="Required")),VLOOKUP($E$41,JAXSAFAC!$E$962:$P$979,11,FALSE),VLOOKUP($E$41,JAXSAFAC!$E$962:$P$979,7,FALSE)))</f>
        <v>N/A</v>
      </c>
      <c r="D79" s="126" t="s">
        <v>469</v>
      </c>
      <c r="I79" s="133"/>
    </row>
    <row r="80" spans="1:10" ht="4.5" customHeight="1">
      <c r="A80" s="137"/>
      <c r="B80" s="135"/>
      <c r="C80" s="140"/>
      <c r="D80" s="136"/>
      <c r="I80" s="133"/>
    </row>
    <row r="81" spans="1:34" ht="15.75" customHeight="1">
      <c r="A81" s="438" t="str">
        <f>IF(AND($C$52="Yes",$D$52="HDPE"),"N/A",IF(AND($C$52="Yes",$D$52="PVC"),"PVC Coupling OD","N/A"))</f>
        <v>N/A</v>
      </c>
      <c r="B81" s="439"/>
      <c r="C81" s="172" t="str">
        <f>IF($C$48=1,"N/A",IF(AND($C$52="Yes",OR($G$46="Yes",$G$46="Required")),VLOOKUP($E$41,JAXSAFAC!$E$962:$P$979,12,FALSE),IF($C$52="Yes",VLOOKUP($E$41,JAXSAFAC!$E$962:$P$979,8,FALSE),"N/A")))</f>
        <v>N/A</v>
      </c>
      <c r="D81" s="126" t="s">
        <v>469</v>
      </c>
      <c r="E81" s="446" t="s">
        <v>878</v>
      </c>
      <c r="F81" s="447"/>
      <c r="G81" s="170" t="e">
        <f>VLOOKUP(E41,JAXSAFAC!E929:F956,2,FALSE)</f>
        <v>#N/A</v>
      </c>
      <c r="H81" s="126" t="s">
        <v>454</v>
      </c>
      <c r="I81" s="334"/>
    </row>
    <row r="82" spans="1:34" ht="4.5" customHeight="1">
      <c r="A82" s="339"/>
      <c r="I82" s="334"/>
      <c r="AE82" s="126"/>
      <c r="AF82" s="126"/>
      <c r="AG82" s="140"/>
      <c r="AH82" s="116"/>
    </row>
    <row r="83" spans="1:34" ht="15.75" customHeight="1">
      <c r="A83" s="438" t="s">
        <v>914</v>
      </c>
      <c r="B83" s="439"/>
      <c r="C83" s="172" t="e">
        <f>IFERROR(INDEX(JAXSAFAC!$D$1021:$F$1048,MATCH('Estimating Form'!E41,JAXSAFAC!$D$1021:$D$1048,0),2),NA())</f>
        <v>#N/A</v>
      </c>
      <c r="D83" s="126" t="s">
        <v>912</v>
      </c>
      <c r="E83" s="446" t="s">
        <v>896</v>
      </c>
      <c r="F83" s="447"/>
      <c r="G83" s="174" t="e">
        <f>INDEX(O112:V134,MATCH(E41,O112:O134,FALSE),8)/12</f>
        <v>#N/A</v>
      </c>
      <c r="H83" s="126" t="s">
        <v>487</v>
      </c>
      <c r="I83" s="334"/>
    </row>
    <row r="84" spans="1:34" ht="15.75" customHeight="1" thickBot="1">
      <c r="A84" s="339"/>
      <c r="I84" s="334"/>
    </row>
    <row r="85" spans="1:34" ht="15.75" customHeight="1">
      <c r="A85" s="438" t="s">
        <v>913</v>
      </c>
      <c r="B85" s="439"/>
      <c r="C85" s="172" t="e">
        <f>IFERROR(INDEX(JAXSAFAC!$D$1021:$F$1048,MATCH('Estimating Form'!E41,JAXSAFAC!$D$1021:$D$1048,0),3),NA())</f>
        <v>#N/A</v>
      </c>
      <c r="D85" s="126" t="s">
        <v>912</v>
      </c>
      <c r="E85" s="441" t="s">
        <v>455</v>
      </c>
      <c r="F85" s="439"/>
      <c r="G85" s="174" t="e">
        <f>IF(OR(C48="",G83=""),"",G83/G69)</f>
        <v>#N/A</v>
      </c>
      <c r="H85" s="318" t="s">
        <v>487</v>
      </c>
      <c r="I85" s="334"/>
      <c r="N85" s="330" t="str">
        <f>JAXSAFAC!E929</f>
        <v/>
      </c>
      <c r="O85" s="342" t="str">
        <f>JAXSAFAC!E962</f>
        <v/>
      </c>
    </row>
    <row r="86" spans="1:34" ht="15.75" customHeight="1">
      <c r="A86" s="339"/>
      <c r="I86" s="334"/>
      <c r="N86" s="330" t="str">
        <f>JAXSAFAC!E930</f>
        <v/>
      </c>
      <c r="O86" s="343" t="str">
        <f>JAXSAFAC!E963</f>
        <v/>
      </c>
    </row>
    <row r="87" spans="1:34" ht="15.75" customHeight="1">
      <c r="A87" s="339"/>
      <c r="D87" s="480" t="s">
        <v>948</v>
      </c>
      <c r="E87" s="480"/>
      <c r="F87" s="481"/>
      <c r="G87" s="174" t="str">
        <f>IFERROR(G85+1,"")</f>
        <v/>
      </c>
      <c r="H87" s="318" t="s">
        <v>487</v>
      </c>
      <c r="I87" s="334"/>
      <c r="N87" s="330" t="str">
        <f>JAXSAFAC!E931</f>
        <v/>
      </c>
      <c r="O87" s="343" t="str">
        <f>JAXSAFAC!E964</f>
        <v/>
      </c>
    </row>
    <row r="88" spans="1:34" ht="15.75" customHeight="1" thickBot="1">
      <c r="A88" s="431" t="s">
        <v>456</v>
      </c>
      <c r="B88" s="432"/>
      <c r="C88" s="432"/>
      <c r="D88" s="432"/>
      <c r="E88" s="432"/>
      <c r="F88" s="432"/>
      <c r="G88" s="432"/>
      <c r="H88" s="432"/>
      <c r="I88" s="433"/>
      <c r="N88" s="330" t="str">
        <f>JAXSAFAC!E932</f>
        <v/>
      </c>
      <c r="O88" s="343" t="str">
        <f>JAXSAFAC!E965</f>
        <v/>
      </c>
    </row>
    <row r="89" spans="1:34" ht="15.75" customHeight="1" thickBot="1">
      <c r="A89" s="479" t="s">
        <v>969</v>
      </c>
      <c r="B89" s="479"/>
      <c r="C89" s="479"/>
      <c r="D89" s="479"/>
      <c r="E89" s="479"/>
      <c r="F89" s="479"/>
      <c r="G89" s="479"/>
      <c r="H89" s="479"/>
      <c r="I89" s="479"/>
      <c r="N89" s="330" t="str">
        <f>JAXSAFAC!E933</f>
        <v/>
      </c>
      <c r="O89" s="343" t="str">
        <f>JAXSAFAC!E966</f>
        <v/>
      </c>
    </row>
    <row r="90" spans="1:34" ht="15.75" customHeight="1">
      <c r="N90" s="330" t="str">
        <f>JAXSAFAC!E934</f>
        <v/>
      </c>
      <c r="O90" s="343" t="str">
        <f>JAXSAFAC!E967</f>
        <v/>
      </c>
    </row>
    <row r="91" spans="1:34" ht="15.75" customHeight="1">
      <c r="N91" s="330" t="str">
        <f>JAXSAFAC!E935</f>
        <v/>
      </c>
      <c r="O91" s="343" t="str">
        <f>JAXSAFAC!E968</f>
        <v/>
      </c>
      <c r="Q91" s="21" t="s">
        <v>30</v>
      </c>
    </row>
    <row r="92" spans="1:34" ht="15.75" customHeight="1">
      <c r="N92" s="330" t="str">
        <f>JAXSAFAC!E936</f>
        <v/>
      </c>
      <c r="O92" s="343" t="str">
        <f>JAXSAFAC!E969</f>
        <v/>
      </c>
      <c r="Q92" s="21" t="s">
        <v>36</v>
      </c>
    </row>
    <row r="93" spans="1:34" ht="15.75" customHeight="1">
      <c r="N93" s="330" t="str">
        <f>JAXSAFAC!E937</f>
        <v/>
      </c>
      <c r="O93" s="343" t="str">
        <f>JAXSAFAC!E970</f>
        <v/>
      </c>
      <c r="Q93" s="21" t="s">
        <v>44</v>
      </c>
    </row>
    <row r="94" spans="1:34" ht="15.75" customHeight="1">
      <c r="N94" s="330" t="str">
        <f>JAXSAFAC!E938</f>
        <v/>
      </c>
      <c r="O94" s="343" t="str">
        <f>JAXSAFAC!E971</f>
        <v/>
      </c>
      <c r="Q94" s="21" t="s">
        <v>27</v>
      </c>
    </row>
    <row r="95" spans="1:34" ht="15.75" customHeight="1">
      <c r="N95" s="330" t="str">
        <f>JAXSAFAC!E939</f>
        <v/>
      </c>
      <c r="O95" s="343" t="str">
        <f>JAXSAFAC!E972</f>
        <v/>
      </c>
      <c r="Q95" s="21" t="s">
        <v>56</v>
      </c>
    </row>
    <row r="96" spans="1:34" ht="15.75" customHeight="1">
      <c r="N96" s="330" t="str">
        <f>JAXSAFAC!E940</f>
        <v/>
      </c>
      <c r="O96" s="343" t="str">
        <f>JAXSAFAC!E973</f>
        <v/>
      </c>
      <c r="Q96" s="21" t="s">
        <v>60</v>
      </c>
    </row>
    <row r="97" spans="14:23" ht="15.75" customHeight="1">
      <c r="N97" s="330" t="str">
        <f>JAXSAFAC!E941</f>
        <v/>
      </c>
      <c r="O97" s="343" t="str">
        <f>JAXSAFAC!E974</f>
        <v/>
      </c>
      <c r="Q97" s="21" t="s">
        <v>62</v>
      </c>
    </row>
    <row r="98" spans="14:23" ht="15.75" customHeight="1">
      <c r="N98" s="330" t="str">
        <f>JAXSAFAC!E942</f>
        <v/>
      </c>
      <c r="O98" s="343" t="str">
        <f>JAXSAFAC!E975</f>
        <v/>
      </c>
      <c r="Q98" s="21" t="s">
        <v>64</v>
      </c>
    </row>
    <row r="99" spans="14:23" ht="15.75" customHeight="1">
      <c r="N99" s="330" t="str">
        <f>JAXSAFAC!E943</f>
        <v/>
      </c>
      <c r="O99" s="343" t="str">
        <f>JAXSAFAC!E976</f>
        <v/>
      </c>
      <c r="Q99" s="21" t="s">
        <v>67</v>
      </c>
    </row>
    <row r="100" spans="14:23" ht="15.75" customHeight="1">
      <c r="N100" s="330" t="str">
        <f>JAXSAFAC!E944</f>
        <v/>
      </c>
      <c r="O100" s="343" t="str">
        <f>JAXSAFAC!E977</f>
        <v/>
      </c>
      <c r="Q100" s="21" t="s">
        <v>69</v>
      </c>
    </row>
    <row r="101" spans="14:23" ht="15.75" customHeight="1">
      <c r="N101" s="330" t="str">
        <f>JAXSAFAC!E945</f>
        <v/>
      </c>
      <c r="O101" s="343" t="str">
        <f>JAXSAFAC!E978</f>
        <v/>
      </c>
    </row>
    <row r="102" spans="14:23" ht="15.75" customHeight="1" thickBot="1">
      <c r="N102" s="330" t="str">
        <f>JAXSAFAC!E946</f>
        <v/>
      </c>
      <c r="O102" s="344" t="str">
        <f>JAXSAFAC!E979</f>
        <v/>
      </c>
    </row>
    <row r="103" spans="14:23" ht="15.75" customHeight="1">
      <c r="N103" s="330" t="str">
        <f>JAXSAFAC!E947</f>
        <v/>
      </c>
    </row>
    <row r="104" spans="14:23" ht="15.75" customHeight="1">
      <c r="N104" s="330" t="str">
        <f>JAXSAFAC!E948</f>
        <v/>
      </c>
    </row>
    <row r="105" spans="14:23" ht="15.75" customHeight="1">
      <c r="N105" s="330" t="str">
        <f>JAXSAFAC!E949</f>
        <v/>
      </c>
    </row>
    <row r="106" spans="14:23" ht="15.75" customHeight="1">
      <c r="N106" s="330" t="str">
        <f>JAXSAFAC!E950</f>
        <v/>
      </c>
    </row>
    <row r="107" spans="14:23" ht="15.75" customHeight="1">
      <c r="N107" s="330" t="str">
        <f>JAXSAFAC!E951</f>
        <v/>
      </c>
    </row>
    <row r="108" spans="14:23" ht="15.75" customHeight="1">
      <c r="N108" s="330" t="str">
        <f>JAXSAFAC!E952</f>
        <v/>
      </c>
    </row>
    <row r="109" spans="14:23" ht="15.75" customHeight="1">
      <c r="N109" s="330" t="str">
        <f>JAXSAFAC!E953</f>
        <v/>
      </c>
      <c r="O109" s="348" t="s">
        <v>889</v>
      </c>
    </row>
    <row r="110" spans="14:23" ht="15.75" customHeight="1">
      <c r="N110" s="330" t="str">
        <f>JAXSAFAC!E954</f>
        <v/>
      </c>
      <c r="O110" s="348"/>
      <c r="Q110" s="351" t="s">
        <v>890</v>
      </c>
      <c r="R110" s="351" t="s">
        <v>24</v>
      </c>
      <c r="S110" s="351" t="s">
        <v>21</v>
      </c>
      <c r="T110" s="351" t="s">
        <v>891</v>
      </c>
      <c r="U110" s="351" t="s">
        <v>892</v>
      </c>
      <c r="V110" s="352" t="s">
        <v>893</v>
      </c>
      <c r="W110" s="348"/>
    </row>
    <row r="111" spans="14:23" ht="15.75" customHeight="1">
      <c r="N111" s="330" t="str">
        <f>JAXSAFAC!E955</f>
        <v/>
      </c>
    </row>
    <row r="112" spans="14:23" ht="15.75" customHeight="1">
      <c r="N112" s="330" t="str">
        <f>JAXSAFAC!E956</f>
        <v/>
      </c>
      <c r="O112" s="104" t="s">
        <v>30</v>
      </c>
      <c r="Q112" s="349">
        <f>JAXSAFAC!$K$953+JAXSAFAC!$K$954+'Estimating Form'!$D$18</f>
        <v>16</v>
      </c>
      <c r="R112" s="349">
        <v>9.375</v>
      </c>
      <c r="S112" s="349">
        <v>0</v>
      </c>
      <c r="T112" s="349">
        <f>Q112+R112</f>
        <v>25.375</v>
      </c>
      <c r="U112" s="349">
        <f>Q112+S112</f>
        <v>16</v>
      </c>
      <c r="V112" s="349">
        <f t="shared" ref="V112:V134" si="0">IF($G$46="Yes",U112,T112)</f>
        <v>25.375</v>
      </c>
      <c r="W112" s="349"/>
    </row>
    <row r="113" spans="15:22" ht="15.75" customHeight="1">
      <c r="O113" s="104" t="s">
        <v>33</v>
      </c>
      <c r="Q113" s="349">
        <f>JAXSAFAC!$K$953+JAXSAFAC!$K$954+'Estimating Form'!$D$18</f>
        <v>16</v>
      </c>
      <c r="R113" s="330">
        <v>9.375</v>
      </c>
      <c r="S113" s="330">
        <v>0</v>
      </c>
      <c r="T113" s="349">
        <f t="shared" ref="T113:T134" si="1">Q113+R113</f>
        <v>25.375</v>
      </c>
      <c r="U113" s="349">
        <f t="shared" ref="U113:U134" si="2">Q113+S113</f>
        <v>16</v>
      </c>
      <c r="V113" s="349">
        <f t="shared" si="0"/>
        <v>25.375</v>
      </c>
    </row>
    <row r="114" spans="15:22" ht="15.75" customHeight="1">
      <c r="O114" s="104" t="s">
        <v>36</v>
      </c>
      <c r="Q114" s="349">
        <f>JAXSAFAC!$K$953+JAXSAFAC!$K$954+'Estimating Form'!$D$18</f>
        <v>16</v>
      </c>
      <c r="R114" s="330">
        <v>8.1875</v>
      </c>
      <c r="S114" s="330">
        <v>10.1875</v>
      </c>
      <c r="T114" s="349">
        <f t="shared" si="1"/>
        <v>24.1875</v>
      </c>
      <c r="U114" s="349">
        <f t="shared" si="2"/>
        <v>26.1875</v>
      </c>
      <c r="V114" s="349">
        <f t="shared" si="0"/>
        <v>24.1875</v>
      </c>
    </row>
    <row r="115" spans="15:22" ht="15.75" customHeight="1">
      <c r="O115" s="104" t="s">
        <v>39</v>
      </c>
      <c r="Q115" s="349">
        <f>JAXSAFAC!$K$953+JAXSAFAC!$K$954+'Estimating Form'!$D$18</f>
        <v>16</v>
      </c>
      <c r="R115" s="330">
        <v>8.1875</v>
      </c>
      <c r="S115" s="330">
        <v>10.1875</v>
      </c>
      <c r="T115" s="349">
        <f t="shared" si="1"/>
        <v>24.1875</v>
      </c>
      <c r="U115" s="349">
        <f t="shared" si="2"/>
        <v>26.1875</v>
      </c>
      <c r="V115" s="349">
        <f t="shared" si="0"/>
        <v>24.1875</v>
      </c>
    </row>
    <row r="116" spans="15:22" ht="15.75" customHeight="1">
      <c r="O116" s="30" t="s">
        <v>42</v>
      </c>
      <c r="Q116" s="349">
        <f>JAXSAFAC!$K$953+JAXSAFAC!$K$954+'Estimating Form'!$D$18</f>
        <v>16</v>
      </c>
      <c r="R116" s="330">
        <v>8.1875</v>
      </c>
      <c r="S116" s="330">
        <v>10.1875</v>
      </c>
      <c r="T116" s="349">
        <f t="shared" si="1"/>
        <v>24.1875</v>
      </c>
      <c r="U116" s="349">
        <f t="shared" si="2"/>
        <v>26.1875</v>
      </c>
      <c r="V116" s="349">
        <f t="shared" si="0"/>
        <v>24.1875</v>
      </c>
    </row>
    <row r="117" spans="15:22" ht="15.75" customHeight="1">
      <c r="O117" s="104" t="s">
        <v>44</v>
      </c>
      <c r="Q117" s="349">
        <f>JAXSAFAC!$K$953+JAXSAFAC!$K$954+'Estimating Form'!$D$18</f>
        <v>16</v>
      </c>
      <c r="R117" s="330">
        <v>9.1875</v>
      </c>
      <c r="S117" s="330">
        <v>9.75</v>
      </c>
      <c r="T117" s="349">
        <f t="shared" si="1"/>
        <v>25.1875</v>
      </c>
      <c r="U117" s="349">
        <f t="shared" si="2"/>
        <v>25.75</v>
      </c>
      <c r="V117" s="349">
        <f t="shared" si="0"/>
        <v>25.1875</v>
      </c>
    </row>
    <row r="118" spans="15:22" ht="15.75" customHeight="1">
      <c r="O118" s="104" t="s">
        <v>45</v>
      </c>
      <c r="Q118" s="349">
        <f>JAXSAFAC!$K$953+JAXSAFAC!$K$954+'Estimating Form'!$D$18</f>
        <v>16</v>
      </c>
      <c r="R118" s="330">
        <v>9.1875</v>
      </c>
      <c r="S118" s="330">
        <v>9.75</v>
      </c>
      <c r="T118" s="349">
        <f t="shared" si="1"/>
        <v>25.1875</v>
      </c>
      <c r="U118" s="349">
        <f t="shared" si="2"/>
        <v>25.75</v>
      </c>
      <c r="V118" s="349">
        <f t="shared" si="0"/>
        <v>25.1875</v>
      </c>
    </row>
    <row r="119" spans="15:22" ht="15.75" customHeight="1">
      <c r="O119" s="30" t="s">
        <v>47</v>
      </c>
      <c r="Q119" s="349">
        <f>JAXSAFAC!$K$953+JAXSAFAC!$K$954+'Estimating Form'!$D$18</f>
        <v>16</v>
      </c>
      <c r="R119" s="330">
        <v>9.1875</v>
      </c>
      <c r="S119" s="330">
        <v>9.75</v>
      </c>
      <c r="T119" s="349">
        <f t="shared" si="1"/>
        <v>25.1875</v>
      </c>
      <c r="U119" s="349">
        <f t="shared" si="2"/>
        <v>25.75</v>
      </c>
      <c r="V119" s="349">
        <f t="shared" si="0"/>
        <v>25.1875</v>
      </c>
    </row>
    <row r="120" spans="15:22" ht="15.75" customHeight="1">
      <c r="O120" s="104" t="s">
        <v>27</v>
      </c>
      <c r="Q120" s="349">
        <f>JAXSAFAC!$K$953+JAXSAFAC!$K$954+'Estimating Form'!$D$18</f>
        <v>16</v>
      </c>
      <c r="R120" s="330">
        <v>9.1875</v>
      </c>
      <c r="S120" s="330">
        <v>9.75</v>
      </c>
      <c r="T120" s="349">
        <f t="shared" si="1"/>
        <v>25.1875</v>
      </c>
      <c r="U120" s="349">
        <f t="shared" si="2"/>
        <v>25.75</v>
      </c>
      <c r="V120" s="349">
        <f t="shared" si="0"/>
        <v>25.1875</v>
      </c>
    </row>
    <row r="121" spans="15:22" ht="15.75" customHeight="1">
      <c r="O121" s="104" t="s">
        <v>53</v>
      </c>
      <c r="Q121" s="349">
        <f>JAXSAFAC!$K$953+JAXSAFAC!$K$954+'Estimating Form'!$D$18</f>
        <v>16</v>
      </c>
      <c r="R121" s="330">
        <v>9.1875</v>
      </c>
      <c r="S121" s="330">
        <v>9.75</v>
      </c>
      <c r="T121" s="349">
        <f t="shared" si="1"/>
        <v>25.1875</v>
      </c>
      <c r="U121" s="349">
        <f t="shared" si="2"/>
        <v>25.75</v>
      </c>
      <c r="V121" s="349">
        <f t="shared" si="0"/>
        <v>25.1875</v>
      </c>
    </row>
    <row r="122" spans="15:22" ht="15.75" customHeight="1">
      <c r="O122" s="30" t="s">
        <v>54</v>
      </c>
      <c r="Q122" s="349">
        <f>JAXSAFAC!$K$953+JAXSAFAC!$K$954+'Estimating Form'!$D$18</f>
        <v>16</v>
      </c>
      <c r="R122" s="330">
        <v>9.1875</v>
      </c>
      <c r="S122" s="330">
        <v>9.75</v>
      </c>
      <c r="T122" s="349">
        <f t="shared" si="1"/>
        <v>25.1875</v>
      </c>
      <c r="U122" s="349">
        <f t="shared" si="2"/>
        <v>25.75</v>
      </c>
      <c r="V122" s="349">
        <f t="shared" si="0"/>
        <v>25.1875</v>
      </c>
    </row>
    <row r="123" spans="15:22" ht="15.75" customHeight="1">
      <c r="O123" s="104" t="s">
        <v>56</v>
      </c>
      <c r="Q123" s="349">
        <f>JAXSAFAC!$K$953+JAXSAFAC!$K$954+'Estimating Form'!$D$18</f>
        <v>16</v>
      </c>
      <c r="R123" s="330">
        <v>9.9375</v>
      </c>
      <c r="S123" s="330">
        <v>10.9375</v>
      </c>
      <c r="T123" s="349">
        <f t="shared" si="1"/>
        <v>25.9375</v>
      </c>
      <c r="U123" s="349">
        <f t="shared" si="2"/>
        <v>26.9375</v>
      </c>
      <c r="V123" s="349">
        <f t="shared" si="0"/>
        <v>25.9375</v>
      </c>
    </row>
    <row r="124" spans="15:22" ht="15.75" customHeight="1">
      <c r="O124" s="104" t="s">
        <v>57</v>
      </c>
      <c r="Q124" s="349">
        <f>JAXSAFAC!$K$953+JAXSAFAC!$K$954+'Estimating Form'!$D$18</f>
        <v>16</v>
      </c>
      <c r="R124" s="330">
        <v>9.9375</v>
      </c>
      <c r="S124" s="330">
        <v>10.9375</v>
      </c>
      <c r="T124" s="349">
        <f t="shared" si="1"/>
        <v>25.9375</v>
      </c>
      <c r="U124" s="349">
        <f t="shared" si="2"/>
        <v>26.9375</v>
      </c>
      <c r="V124" s="349">
        <f t="shared" si="0"/>
        <v>25.9375</v>
      </c>
    </row>
    <row r="125" spans="15:22" ht="15.75" customHeight="1">
      <c r="O125" s="43" t="s">
        <v>59</v>
      </c>
      <c r="Q125" s="349">
        <f>JAXSAFAC!$K$953+JAXSAFAC!$K$954+'Estimating Form'!$D$18</f>
        <v>16</v>
      </c>
      <c r="R125" s="330">
        <v>9.9375</v>
      </c>
      <c r="S125" s="330">
        <v>10.9375</v>
      </c>
      <c r="T125" s="349">
        <f t="shared" si="1"/>
        <v>25.9375</v>
      </c>
      <c r="U125" s="349">
        <f t="shared" si="2"/>
        <v>26.9375</v>
      </c>
      <c r="V125" s="349">
        <f t="shared" si="0"/>
        <v>25.9375</v>
      </c>
    </row>
    <row r="126" spans="15:22" ht="15.75" customHeight="1">
      <c r="O126" s="104" t="s">
        <v>60</v>
      </c>
      <c r="Q126" s="349">
        <f>JAXSAFAC!$K$953+JAXSAFAC!$K$954+'Estimating Form'!$D$18</f>
        <v>16</v>
      </c>
      <c r="R126" s="330">
        <v>9.9375</v>
      </c>
      <c r="S126" s="330">
        <v>10.9375</v>
      </c>
      <c r="T126" s="349">
        <f t="shared" si="1"/>
        <v>25.9375</v>
      </c>
      <c r="U126" s="349">
        <f t="shared" si="2"/>
        <v>26.9375</v>
      </c>
      <c r="V126" s="349">
        <f t="shared" si="0"/>
        <v>25.9375</v>
      </c>
    </row>
    <row r="127" spans="15:22" ht="15.75" customHeight="1">
      <c r="O127" s="104" t="s">
        <v>61</v>
      </c>
      <c r="Q127" s="349">
        <f>JAXSAFAC!$K$953+JAXSAFAC!$K$954+'Estimating Form'!$D$18</f>
        <v>16</v>
      </c>
      <c r="R127" s="330">
        <v>9.9375</v>
      </c>
      <c r="S127" s="330">
        <v>10.9375</v>
      </c>
      <c r="T127" s="349">
        <f t="shared" si="1"/>
        <v>25.9375</v>
      </c>
      <c r="U127" s="349">
        <f t="shared" si="2"/>
        <v>26.9375</v>
      </c>
      <c r="V127" s="349">
        <f t="shared" si="0"/>
        <v>25.9375</v>
      </c>
    </row>
    <row r="128" spans="15:22" ht="15.75" customHeight="1">
      <c r="O128" s="104" t="s">
        <v>62</v>
      </c>
      <c r="Q128" s="349">
        <f>JAXSAFAC!$K$953+JAXSAFAC!$K$954+'Estimating Form'!$D$18</f>
        <v>16</v>
      </c>
      <c r="R128" s="330">
        <v>12.9375</v>
      </c>
      <c r="S128" s="330">
        <v>14.375</v>
      </c>
      <c r="T128" s="349">
        <f t="shared" si="1"/>
        <v>28.9375</v>
      </c>
      <c r="U128" s="349">
        <f t="shared" si="2"/>
        <v>30.375</v>
      </c>
      <c r="V128" s="349">
        <f t="shared" si="0"/>
        <v>28.9375</v>
      </c>
    </row>
    <row r="129" spans="15:22" ht="15.75" customHeight="1">
      <c r="O129" s="105" t="s">
        <v>63</v>
      </c>
      <c r="Q129" s="349">
        <f>JAXSAFAC!$K$953+JAXSAFAC!$K$954+'Estimating Form'!$D$18</f>
        <v>16</v>
      </c>
      <c r="R129" s="330">
        <v>12.9375</v>
      </c>
      <c r="S129" s="330">
        <v>14.375</v>
      </c>
      <c r="T129" s="349">
        <f t="shared" si="1"/>
        <v>28.9375</v>
      </c>
      <c r="U129" s="349">
        <f t="shared" si="2"/>
        <v>30.375</v>
      </c>
      <c r="V129" s="349">
        <f t="shared" si="0"/>
        <v>28.9375</v>
      </c>
    </row>
    <row r="130" spans="15:22" ht="15.75" customHeight="1">
      <c r="O130" s="104" t="s">
        <v>64</v>
      </c>
      <c r="Q130" s="349">
        <f>JAXSAFAC!$K$953+JAXSAFAC!$K$954+'Estimating Form'!$D$18</f>
        <v>16</v>
      </c>
      <c r="R130" s="330">
        <v>13.3125</v>
      </c>
      <c r="S130" s="330">
        <v>14.375</v>
      </c>
      <c r="T130" s="349">
        <f t="shared" si="1"/>
        <v>29.3125</v>
      </c>
      <c r="U130" s="349">
        <f t="shared" si="2"/>
        <v>30.375</v>
      </c>
      <c r="V130" s="349">
        <f t="shared" si="0"/>
        <v>29.3125</v>
      </c>
    </row>
    <row r="131" spans="15:22" ht="15.75" customHeight="1">
      <c r="O131" s="105" t="s">
        <v>65</v>
      </c>
      <c r="Q131" s="349">
        <f>JAXSAFAC!$K$953+JAXSAFAC!$K$954+'Estimating Form'!$D$18</f>
        <v>16</v>
      </c>
      <c r="R131" s="330">
        <v>13.3125</v>
      </c>
      <c r="S131" s="330">
        <v>14.375</v>
      </c>
      <c r="T131" s="349">
        <f t="shared" si="1"/>
        <v>29.3125</v>
      </c>
      <c r="U131" s="349">
        <f t="shared" si="2"/>
        <v>30.375</v>
      </c>
      <c r="V131" s="349">
        <f t="shared" si="0"/>
        <v>29.3125</v>
      </c>
    </row>
    <row r="132" spans="15:22" ht="15.75" customHeight="1">
      <c r="O132" s="104" t="s">
        <v>67</v>
      </c>
      <c r="Q132" s="349">
        <f>JAXSAFAC!$K$953+JAXSAFAC!$K$954+'Estimating Form'!$D$18</f>
        <v>16</v>
      </c>
      <c r="R132" s="330">
        <v>15.3125</v>
      </c>
      <c r="S132" s="330">
        <v>0</v>
      </c>
      <c r="T132" s="349">
        <f t="shared" si="1"/>
        <v>31.3125</v>
      </c>
      <c r="U132" s="349">
        <f t="shared" si="2"/>
        <v>16</v>
      </c>
      <c r="V132" s="349">
        <f t="shared" si="0"/>
        <v>31.3125</v>
      </c>
    </row>
    <row r="133" spans="15:22" ht="15.75" customHeight="1">
      <c r="O133" s="105" t="s">
        <v>68</v>
      </c>
      <c r="Q133" s="349">
        <f>JAXSAFAC!$K$953+JAXSAFAC!$K$954+'Estimating Form'!$D$18</f>
        <v>16</v>
      </c>
      <c r="R133" s="330">
        <v>15.3125</v>
      </c>
      <c r="S133" s="330">
        <v>0</v>
      </c>
      <c r="T133" s="349">
        <f t="shared" si="1"/>
        <v>31.3125</v>
      </c>
      <c r="U133" s="349">
        <f t="shared" si="2"/>
        <v>16</v>
      </c>
      <c r="V133" s="349">
        <f t="shared" si="0"/>
        <v>31.3125</v>
      </c>
    </row>
    <row r="134" spans="15:22" ht="15.75" customHeight="1">
      <c r="O134" s="104" t="s">
        <v>69</v>
      </c>
      <c r="Q134" s="349">
        <f>JAXSAFAC!$K$953+JAXSAFAC!$K$954+'Estimating Form'!$D$18</f>
        <v>16</v>
      </c>
      <c r="R134" s="330">
        <v>15.375</v>
      </c>
      <c r="S134" s="330">
        <v>0</v>
      </c>
      <c r="T134" s="330">
        <f t="shared" si="1"/>
        <v>31.375</v>
      </c>
      <c r="U134" s="330">
        <f t="shared" si="2"/>
        <v>16</v>
      </c>
      <c r="V134" s="349">
        <f t="shared" si="0"/>
        <v>31.375</v>
      </c>
    </row>
    <row r="135" spans="15:22" ht="15.75" customHeight="1"/>
    <row r="136" spans="15:22" ht="15.75" customHeight="1"/>
    <row r="137" spans="15:22" ht="15.75" customHeight="1"/>
    <row r="138" spans="15:22" ht="15.75" customHeight="1"/>
    <row r="139" spans="15:22" ht="15.75" customHeight="1"/>
    <row r="140" spans="15:22" ht="15.75" customHeight="1"/>
    <row r="141" spans="15:22" ht="15.75" customHeight="1"/>
    <row r="142" spans="15:22" ht="15.75" customHeight="1"/>
    <row r="143" spans="15:22" ht="15.75" customHeight="1"/>
    <row r="144" spans="15:22"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sheetData>
  <sheetProtection algorithmName="SHA-512" hashValue="RT85kBakD6pvhaK6L1h68jBHBaiCa5jnwevqbbBZRyvI4qnIc9wWR2JJpRPbuE10y0zg1LEevWMLvqz8MSgOhw==" saltValue="06C85RZ5sUiWY9DpL2U8Iw==" spinCount="100000" sheet="1" selectLockedCells="1"/>
  <mergeCells count="57">
    <mergeCell ref="A89:I89"/>
    <mergeCell ref="A61:D65"/>
    <mergeCell ref="A85:B85"/>
    <mergeCell ref="A83:B83"/>
    <mergeCell ref="E81:F81"/>
    <mergeCell ref="E77:F77"/>
    <mergeCell ref="E73:F73"/>
    <mergeCell ref="E75:F75"/>
    <mergeCell ref="A73:B73"/>
    <mergeCell ref="A75:B75"/>
    <mergeCell ref="A77:B77"/>
    <mergeCell ref="A71:B71"/>
    <mergeCell ref="D87:F87"/>
    <mergeCell ref="E61:I65"/>
    <mergeCell ref="A69:B69"/>
    <mergeCell ref="A52:B52"/>
    <mergeCell ref="A54:B54"/>
    <mergeCell ref="A40:I40"/>
    <mergeCell ref="A43:D46"/>
    <mergeCell ref="E50:F50"/>
    <mergeCell ref="E52:F52"/>
    <mergeCell ref="F10:H10"/>
    <mergeCell ref="A24:C24"/>
    <mergeCell ref="A22:C22"/>
    <mergeCell ref="F44:H44"/>
    <mergeCell ref="F41:I43"/>
    <mergeCell ref="B12:D12"/>
    <mergeCell ref="F12:H12"/>
    <mergeCell ref="C14:G14"/>
    <mergeCell ref="A34:C34"/>
    <mergeCell ref="A18:C18"/>
    <mergeCell ref="A20:C20"/>
    <mergeCell ref="V22:W22"/>
    <mergeCell ref="A48:B48"/>
    <mergeCell ref="A39:I39"/>
    <mergeCell ref="A28:C28"/>
    <mergeCell ref="F28:I28"/>
    <mergeCell ref="F34:I36"/>
    <mergeCell ref="A30:C30"/>
    <mergeCell ref="A32:C32"/>
    <mergeCell ref="E46:F46"/>
    <mergeCell ref="B8:G8"/>
    <mergeCell ref="AB36:AE37"/>
    <mergeCell ref="A88:I88"/>
    <mergeCell ref="A1:G6"/>
    <mergeCell ref="A79:B79"/>
    <mergeCell ref="A81:B81"/>
    <mergeCell ref="A26:C26"/>
    <mergeCell ref="C37:G37"/>
    <mergeCell ref="C67:G67"/>
    <mergeCell ref="A56:B56"/>
    <mergeCell ref="A58:B58"/>
    <mergeCell ref="E85:F85"/>
    <mergeCell ref="E69:F69"/>
    <mergeCell ref="E83:F83"/>
    <mergeCell ref="B10:D10"/>
    <mergeCell ref="H8:I8"/>
  </mergeCells>
  <conditionalFormatting sqref="G30">
    <cfRule type="cellIs" dxfId="27" priority="17" operator="lessThan">
      <formula>$D$28*0.9</formula>
    </cfRule>
    <cfRule type="cellIs" dxfId="26" priority="18" operator="greaterThan">
      <formula>$D$28*1.1</formula>
    </cfRule>
  </conditionalFormatting>
  <conditionalFormatting sqref="D34 C56 C58">
    <cfRule type="expression" dxfId="25" priority="16">
      <formula>$D$32="Yes"</formula>
    </cfRule>
  </conditionalFormatting>
  <conditionalFormatting sqref="G46">
    <cfRule type="expression" dxfId="24" priority="15">
      <formula>$G$46="Required"</formula>
    </cfRule>
  </conditionalFormatting>
  <conditionalFormatting sqref="G85">
    <cfRule type="expression" dxfId="23" priority="9">
      <formula>$G$85&gt;=12</formula>
    </cfRule>
  </conditionalFormatting>
  <conditionalFormatting sqref="F34:I36 E34">
    <cfRule type="expression" dxfId="22" priority="39">
      <formula>IF(OR(ISBLANK($D$18),ISBLANK($D$20),ISBLANK($G$22),ISBLANK($D$26),ISBLANK($D$28),ISBLANK($D$30),ISBLANK($E$41)),TRUE,FALSE)</formula>
    </cfRule>
  </conditionalFormatting>
  <conditionalFormatting sqref="C52">
    <cfRule type="expression" dxfId="21" priority="40">
      <formula>AND($C$48=1,#REF!="Yes")</formula>
    </cfRule>
  </conditionalFormatting>
  <conditionalFormatting sqref="H50">
    <cfRule type="expression" dxfId="20" priority="4">
      <formula>OR(G50="No", G50 = "")</formula>
    </cfRule>
  </conditionalFormatting>
  <conditionalFormatting sqref="G87">
    <cfRule type="expression" dxfId="19" priority="1">
      <formula>$G$85&gt;=12</formula>
    </cfRule>
  </conditionalFormatting>
  <dataValidations xWindow="722" yWindow="844" count="8">
    <dataValidation type="list" allowBlank="1" showInputMessage="1" showErrorMessage="1" sqref="C52 D32 C56 C58" xr:uid="{00000000-0002-0000-0000-000000000000}">
      <formula1>$N$3:$N$4</formula1>
    </dataValidation>
    <dataValidation type="list" allowBlank="1" showInputMessage="1" showErrorMessage="1" sqref="D26" xr:uid="{00000000-0002-0000-0000-000003000000}">
      <formula1>$M$3:$M$4</formula1>
    </dataValidation>
    <dataValidation type="list" allowBlank="1" showInputMessage="1" showErrorMessage="1" sqref="G50" xr:uid="{00000000-0002-0000-0000-000004000000}">
      <formula1>$M$9:$M$10</formula1>
    </dataValidation>
    <dataValidation type="list" allowBlank="1" showInputMessage="1" sqref="D20" xr:uid="{00000000-0002-0000-0000-000005000000}">
      <formula1>$Q$20:$Q$34</formula1>
    </dataValidation>
    <dataValidation type="decimal" operator="greaterThan" allowBlank="1" showInputMessage="1" showErrorMessage="1" prompt="Enter travel in inches." sqref="D18" xr:uid="{00000000-0002-0000-0000-000006000000}">
      <formula1>0</formula1>
    </dataValidation>
    <dataValidation type="list" allowBlank="1" sqref="G46" xr:uid="{00000000-0002-0000-0000-000007000000}">
      <formula1>$N$3:$N$4</formula1>
    </dataValidation>
    <dataValidation type="list" allowBlank="1" showInputMessage="1" showErrorMessage="1" sqref="H50" xr:uid="{A3DBA59B-3677-4393-B59D-74A821D1C8CF}">
      <formula1>$M$7:$M$8</formula1>
    </dataValidation>
    <dataValidation type="list" allowBlank="1" showInputMessage="1" showErrorMessage="1" sqref="E41" xr:uid="{00000000-0002-0000-0000-000002000000}">
      <formula1>$O$85:$O$102</formula1>
    </dataValidation>
  </dataValidations>
  <printOptions horizontalCentered="1" verticalCentered="1"/>
  <pageMargins left="0.7" right="0.7" top="0.75" bottom="0.75" header="0.3" footer="0.3"/>
  <pageSetup scale="62" orientation="portrait" r:id="rId1"/>
  <colBreaks count="1" manualBreakCount="1">
    <brk id="9" max="1048575" man="1"/>
  </colBreaks>
  <drawing r:id="rId2"/>
  <legacyDrawing r:id="rId3"/>
  <extLst>
    <ext xmlns:x14="http://schemas.microsoft.com/office/spreadsheetml/2009/9/main" uri="{CCE6A557-97BC-4b89-ADB6-D9C93CAAB3DF}">
      <x14:dataValidations xmlns:xm="http://schemas.microsoft.com/office/excel/2006/main" xWindow="722" yWindow="844" count="1">
        <x14:dataValidation type="list" allowBlank="1" showInputMessage="1" showErrorMessage="1" xr:uid="{00000000-0002-0000-0000-000001000000}">
          <x14:formula1>
            <xm:f>JAXSAFAC!$AC$989:$AC$997</xm:f>
          </x14:formula1>
          <xm:sqref>C48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A83"/>
  <sheetViews>
    <sheetView showGridLines="0" zoomScaleNormal="100" workbookViewId="0">
      <selection activeCell="B14" sqref="B14:E14"/>
    </sheetView>
  </sheetViews>
  <sheetFormatPr defaultColWidth="9" defaultRowHeight="15"/>
  <cols>
    <col min="1" max="10" width="12" style="162" customWidth="1"/>
    <col min="11" max="12" width="12" style="162" hidden="1" customWidth="1"/>
    <col min="13" max="29" width="9" style="162" hidden="1" customWidth="1"/>
    <col min="30" max="30" width="0" style="162" hidden="1" customWidth="1"/>
    <col min="31" max="16384" width="9" style="162"/>
  </cols>
  <sheetData>
    <row r="1" spans="1:10" ht="15" customHeight="1">
      <c r="A1" s="496" t="s">
        <v>961</v>
      </c>
      <c r="B1" s="497"/>
      <c r="C1" s="497"/>
      <c r="D1" s="371"/>
      <c r="E1" s="371"/>
      <c r="F1" s="371"/>
      <c r="G1" s="371"/>
      <c r="H1" s="156"/>
      <c r="I1" s="156"/>
      <c r="J1" s="157"/>
    </row>
    <row r="2" spans="1:10" ht="15" customHeight="1">
      <c r="A2" s="498"/>
      <c r="B2" s="499"/>
      <c r="C2" s="499"/>
      <c r="D2" s="373"/>
      <c r="E2" s="373"/>
      <c r="F2" s="373"/>
      <c r="G2" s="373"/>
      <c r="H2" s="159"/>
      <c r="I2" s="159"/>
      <c r="J2" s="160"/>
    </row>
    <row r="3" spans="1:10" ht="15" customHeight="1">
      <c r="A3" s="498"/>
      <c r="B3" s="499"/>
      <c r="C3" s="499"/>
      <c r="D3" s="373"/>
      <c r="E3" s="373"/>
      <c r="F3" s="373"/>
      <c r="G3" s="373"/>
      <c r="H3" s="159"/>
      <c r="I3" s="159"/>
      <c r="J3" s="160"/>
    </row>
    <row r="4" spans="1:10" ht="15" customHeight="1">
      <c r="A4" s="498"/>
      <c r="B4" s="499"/>
      <c r="C4" s="499"/>
      <c r="D4" s="373"/>
      <c r="E4" s="373"/>
      <c r="F4" s="373"/>
      <c r="G4" s="373"/>
      <c r="H4" s="159"/>
      <c r="I4" s="159"/>
      <c r="J4" s="160"/>
    </row>
    <row r="5" spans="1:10" ht="15" customHeight="1">
      <c r="A5" s="498"/>
      <c r="B5" s="499"/>
      <c r="C5" s="499"/>
      <c r="D5" s="373"/>
      <c r="E5" s="373"/>
      <c r="F5" s="373"/>
      <c r="G5" s="373"/>
      <c r="H5" s="159"/>
      <c r="I5" s="159"/>
      <c r="J5" s="160"/>
    </row>
    <row r="6" spans="1:10" ht="15" customHeight="1">
      <c r="A6" s="372"/>
      <c r="B6" s="373"/>
      <c r="C6" s="373"/>
      <c r="D6" s="373"/>
      <c r="E6" s="373"/>
      <c r="F6" s="373"/>
      <c r="G6" s="382" t="s">
        <v>449</v>
      </c>
      <c r="H6" s="180">
        <f>'Estimating Form'!$F$10</f>
        <v>0</v>
      </c>
      <c r="J6" s="160"/>
    </row>
    <row r="7" spans="1:10" ht="31.5" customHeight="1" thickBot="1">
      <c r="A7" s="158"/>
      <c r="B7" s="159"/>
      <c r="C7" s="159"/>
      <c r="D7" s="159"/>
      <c r="E7" s="316" t="s">
        <v>869</v>
      </c>
      <c r="F7" s="159"/>
      <c r="G7" s="159"/>
      <c r="H7" s="159"/>
      <c r="I7" s="159"/>
      <c r="J7" s="160"/>
    </row>
    <row r="8" spans="1:10" ht="20.25" customHeight="1" thickBot="1">
      <c r="A8" s="400"/>
      <c r="B8" s="401"/>
      <c r="C8" s="484" t="s">
        <v>950</v>
      </c>
      <c r="D8" s="484"/>
      <c r="E8" s="484"/>
      <c r="F8" s="484"/>
      <c r="G8" s="484"/>
      <c r="H8" s="401"/>
      <c r="I8" s="401"/>
      <c r="J8" s="402"/>
    </row>
    <row r="9" spans="1:10" ht="4.5" customHeight="1">
      <c r="A9" s="120"/>
      <c r="B9" s="116"/>
      <c r="C9" s="382"/>
      <c r="D9" s="382"/>
      <c r="E9" s="382"/>
      <c r="F9" s="382"/>
      <c r="G9" s="382"/>
      <c r="H9" s="116"/>
      <c r="I9" s="116"/>
      <c r="J9" s="117"/>
    </row>
    <row r="10" spans="1:10">
      <c r="A10" s="381" t="s">
        <v>446</v>
      </c>
      <c r="B10" s="485">
        <f>'Estimating Form'!$B$10:$D$10</f>
        <v>0</v>
      </c>
      <c r="C10" s="486"/>
      <c r="D10" s="486"/>
      <c r="F10" s="495" t="str">
        <f>IF('Estimating Form'!D32="Yes","Existing Dover/TKE Job #","")</f>
        <v/>
      </c>
      <c r="G10" s="495"/>
      <c r="H10" s="486" t="str">
        <f>IF('Estimating Form'!D32="Yes",'Estimating Form'!D34,"")</f>
        <v/>
      </c>
      <c r="I10" s="486"/>
      <c r="J10" s="121"/>
    </row>
    <row r="11" spans="1:10" ht="4.5" customHeight="1">
      <c r="A11" s="381"/>
      <c r="B11" s="122"/>
      <c r="C11" s="122"/>
      <c r="D11" s="122"/>
      <c r="E11" s="122"/>
      <c r="F11" s="382"/>
      <c r="G11" s="382"/>
      <c r="H11" s="116"/>
      <c r="I11" s="116"/>
      <c r="J11" s="117"/>
    </row>
    <row r="12" spans="1:10">
      <c r="A12" s="381" t="s">
        <v>448</v>
      </c>
      <c r="B12" s="485">
        <f>'Estimating Form'!$B$12:$D$12</f>
        <v>0</v>
      </c>
      <c r="C12" s="486"/>
      <c r="D12" s="486"/>
      <c r="F12" s="382" t="s">
        <v>447</v>
      </c>
      <c r="G12" s="485">
        <f>'Estimating Form'!$F$12</f>
        <v>0</v>
      </c>
      <c r="H12" s="504"/>
      <c r="I12" s="504"/>
      <c r="J12" s="117"/>
    </row>
    <row r="13" spans="1:10" ht="15" customHeight="1">
      <c r="A13" s="107"/>
      <c r="B13" s="169"/>
      <c r="C13" s="128"/>
      <c r="D13" s="128"/>
      <c r="E13" s="108"/>
      <c r="F13" s="169"/>
      <c r="G13" s="128"/>
      <c r="H13" s="128"/>
      <c r="I13" s="128"/>
      <c r="J13" s="117"/>
    </row>
    <row r="14" spans="1:10" ht="18">
      <c r="A14" s="184" t="s">
        <v>493</v>
      </c>
      <c r="B14" s="505"/>
      <c r="C14" s="506"/>
      <c r="D14" s="506"/>
      <c r="E14" s="507"/>
      <c r="H14" s="315" t="s">
        <v>490</v>
      </c>
      <c r="I14" s="403"/>
      <c r="J14" s="185"/>
    </row>
    <row r="15" spans="1:10" ht="6" customHeight="1" thickBot="1">
      <c r="A15" s="161"/>
      <c r="J15" s="163"/>
    </row>
    <row r="16" spans="1:10" ht="20.25" customHeight="1" thickBot="1">
      <c r="A16" s="400"/>
      <c r="B16" s="401"/>
      <c r="C16" s="484" t="s">
        <v>467</v>
      </c>
      <c r="D16" s="484"/>
      <c r="E16" s="484"/>
      <c r="F16" s="484"/>
      <c r="G16" s="484"/>
      <c r="H16" s="401"/>
      <c r="I16" s="401"/>
      <c r="J16" s="402"/>
    </row>
    <row r="17" spans="1:11" ht="4.5" customHeight="1">
      <c r="A17" s="161"/>
      <c r="J17" s="163"/>
    </row>
    <row r="18" spans="1:11" ht="15.75" customHeight="1">
      <c r="A18" s="440" t="s">
        <v>488</v>
      </c>
      <c r="B18" s="441"/>
      <c r="C18" s="439"/>
      <c r="D18" s="309">
        <f>'Estimating Form'!D18</f>
        <v>0</v>
      </c>
      <c r="E18" s="318" t="s">
        <v>469</v>
      </c>
      <c r="G18" s="140" t="s">
        <v>458</v>
      </c>
      <c r="I18" s="170">
        <f>'Estimating Form'!D28</f>
        <v>0</v>
      </c>
      <c r="J18" s="121" t="s">
        <v>461</v>
      </c>
    </row>
    <row r="19" spans="1:11" ht="4.5" customHeight="1">
      <c r="A19" s="125"/>
      <c r="B19" s="128"/>
      <c r="C19" s="128"/>
      <c r="D19" s="140"/>
      <c r="E19" s="128"/>
      <c r="G19" s="128"/>
      <c r="I19" s="140"/>
      <c r="J19" s="121"/>
    </row>
    <row r="20" spans="1:11" ht="15.75" customHeight="1">
      <c r="A20" s="440" t="s">
        <v>91</v>
      </c>
      <c r="B20" s="441"/>
      <c r="C20" s="439"/>
      <c r="D20" s="154">
        <f>'Estimating Form'!D20</f>
        <v>0</v>
      </c>
      <c r="E20" s="126" t="s">
        <v>454</v>
      </c>
      <c r="G20" s="140" t="s">
        <v>459</v>
      </c>
      <c r="I20" s="171">
        <f>'Estimating Form'!D30</f>
        <v>0</v>
      </c>
      <c r="J20" s="121"/>
    </row>
    <row r="21" spans="1:11" ht="4.5" customHeight="1">
      <c r="A21" s="124"/>
      <c r="B21" s="128"/>
      <c r="C21" s="128"/>
      <c r="D21" s="140"/>
      <c r="E21" s="122"/>
      <c r="G21" s="128"/>
      <c r="I21" s="140"/>
      <c r="J21" s="121"/>
    </row>
    <row r="22" spans="1:11" ht="15.75" customHeight="1">
      <c r="A22" s="440" t="s">
        <v>468</v>
      </c>
      <c r="B22" s="441"/>
      <c r="C22" s="439"/>
      <c r="D22" s="154">
        <f>'Estimating Form'!G22</f>
        <v>0</v>
      </c>
      <c r="E22" s="126" t="s">
        <v>454</v>
      </c>
      <c r="G22" s="140" t="s">
        <v>462</v>
      </c>
      <c r="I22" s="171">
        <f>'Estimating Form'!D32</f>
        <v>0</v>
      </c>
      <c r="J22" s="121"/>
    </row>
    <row r="23" spans="1:11" ht="15" hidden="1" customHeight="1">
      <c r="A23" s="125"/>
      <c r="B23" s="128"/>
      <c r="C23" s="128"/>
      <c r="D23" s="140"/>
      <c r="E23" s="122"/>
      <c r="F23" s="122"/>
      <c r="G23" s="126"/>
      <c r="H23" s="126"/>
      <c r="I23" s="126"/>
      <c r="J23" s="138"/>
    </row>
    <row r="24" spans="1:11" ht="15.75" hidden="1" customHeight="1">
      <c r="A24" s="440"/>
      <c r="B24" s="441"/>
      <c r="C24" s="441"/>
      <c r="D24" s="382"/>
      <c r="E24" s="126"/>
      <c r="F24" s="122"/>
      <c r="G24" s="122"/>
      <c r="H24" s="122"/>
      <c r="I24" s="122"/>
      <c r="J24" s="138"/>
    </row>
    <row r="25" spans="1:11" ht="4.5" customHeight="1">
      <c r="A25" s="125"/>
      <c r="B25" s="128"/>
      <c r="C25" s="128"/>
      <c r="D25" s="140"/>
      <c r="E25" s="122"/>
      <c r="F25" s="128"/>
      <c r="G25" s="126"/>
      <c r="H25" s="126"/>
      <c r="I25" s="126"/>
      <c r="J25" s="138"/>
    </row>
    <row r="26" spans="1:11" ht="15.75" customHeight="1">
      <c r="A26" s="440" t="s">
        <v>73</v>
      </c>
      <c r="B26" s="441"/>
      <c r="C26" s="439"/>
      <c r="D26" s="155">
        <f>'Estimating Form'!D26</f>
        <v>0</v>
      </c>
      <c r="E26" s="126"/>
      <c r="G26" s="140" t="s">
        <v>473</v>
      </c>
      <c r="I26" s="170" t="e">
        <f>'Estimating Form'!G30</f>
        <v>#N/A</v>
      </c>
      <c r="J26" s="177" t="s">
        <v>461</v>
      </c>
    </row>
    <row r="27" spans="1:11" ht="4.5" customHeight="1">
      <c r="A27" s="125"/>
      <c r="B27" s="128"/>
      <c r="C27" s="128"/>
      <c r="D27" s="140"/>
      <c r="E27" s="122"/>
      <c r="F27" s="128"/>
      <c r="G27" s="128"/>
      <c r="H27" s="131"/>
      <c r="I27" s="131"/>
      <c r="J27" s="127"/>
    </row>
    <row r="28" spans="1:11" ht="15.75" customHeight="1">
      <c r="A28" s="380"/>
      <c r="C28" s="140"/>
      <c r="G28" s="441" t="str">
        <f>IFERROR(IF(I26&gt;1.1*I18,"A New Power Unit May Be Required",IF(I26&lt;0.9*I18,"A New Power Unit May Be Required","")),"")</f>
        <v/>
      </c>
      <c r="H28" s="441"/>
      <c r="I28" s="441"/>
      <c r="J28" s="127"/>
    </row>
    <row r="29" spans="1:11" ht="4.5" customHeight="1">
      <c r="A29" s="125"/>
      <c r="C29" s="128"/>
      <c r="F29" s="128"/>
      <c r="G29" s="128"/>
      <c r="H29" s="131"/>
      <c r="I29" s="131"/>
      <c r="J29" s="127"/>
    </row>
    <row r="30" spans="1:11" ht="15.75" customHeight="1">
      <c r="A30" s="380"/>
      <c r="C30" s="140"/>
      <c r="G30" s="383" t="s">
        <v>867</v>
      </c>
      <c r="I30" s="404"/>
      <c r="J30" s="177" t="s">
        <v>461</v>
      </c>
      <c r="K30" s="161"/>
    </row>
    <row r="31" spans="1:11" ht="20.25" hidden="1" customHeight="1">
      <c r="A31" s="125"/>
      <c r="C31" s="128"/>
      <c r="F31" s="128"/>
      <c r="G31" s="128"/>
      <c r="H31" s="131"/>
      <c r="I31" s="131"/>
      <c r="J31" s="127"/>
      <c r="K31" s="161"/>
    </row>
    <row r="32" spans="1:11" ht="7.5" hidden="1" customHeight="1">
      <c r="A32" s="125"/>
      <c r="C32" s="128"/>
      <c r="F32" s="128"/>
      <c r="J32" s="127"/>
      <c r="K32" s="161"/>
    </row>
    <row r="33" spans="1:25" ht="4.5" customHeight="1" thickBot="1">
      <c r="A33" s="125"/>
      <c r="B33" s="128"/>
      <c r="C33" s="128"/>
      <c r="D33" s="128"/>
      <c r="E33" s="122"/>
      <c r="F33" s="128"/>
      <c r="G33" s="128"/>
      <c r="H33" s="131"/>
      <c r="I33" s="131"/>
      <c r="J33" s="127"/>
      <c r="K33" s="161"/>
    </row>
    <row r="34" spans="1:25" ht="20.25" customHeight="1" thickBot="1">
      <c r="A34" s="489" t="s">
        <v>476</v>
      </c>
      <c r="B34" s="484"/>
      <c r="C34" s="484"/>
      <c r="D34" s="484"/>
      <c r="E34" s="484"/>
      <c r="F34" s="484"/>
      <c r="G34" s="484"/>
      <c r="H34" s="484"/>
      <c r="I34" s="484"/>
      <c r="J34" s="490"/>
      <c r="K34" s="161"/>
    </row>
    <row r="35" spans="1:25" ht="20.25" customHeight="1">
      <c r="A35" s="125"/>
      <c r="B35" s="128"/>
      <c r="C35" s="128"/>
      <c r="D35" s="128"/>
      <c r="E35" s="122"/>
      <c r="G35" s="128"/>
      <c r="H35" s="131"/>
      <c r="I35" s="131"/>
      <c r="J35" s="127"/>
      <c r="K35" s="161"/>
    </row>
    <row r="36" spans="1:25" ht="20.25" customHeight="1">
      <c r="A36" s="161"/>
      <c r="H36" s="508" t="str">
        <f>IF(ISBLANK(I37),"",IF(I37&lt;(I18/200*6),"Please verify top overtravel.",""))</f>
        <v/>
      </c>
      <c r="I36" s="508"/>
      <c r="J36" s="509"/>
      <c r="K36" s="161"/>
    </row>
    <row r="37" spans="1:25" ht="20.25" customHeight="1">
      <c r="A37" s="161"/>
      <c r="G37" s="487" t="s">
        <v>474</v>
      </c>
      <c r="H37" s="488"/>
      <c r="I37" s="405"/>
      <c r="J37" s="320" t="s">
        <v>469</v>
      </c>
      <c r="K37" s="161"/>
      <c r="Q37" s="162" t="s">
        <v>30</v>
      </c>
      <c r="T37" s="359">
        <v>5.5</v>
      </c>
    </row>
    <row r="38" spans="1:25" ht="20.25" customHeight="1">
      <c r="A38" s="161"/>
      <c r="F38" s="360"/>
      <c r="G38" s="487" t="s">
        <v>915</v>
      </c>
      <c r="H38" s="488"/>
      <c r="I38" s="153">
        <v>6</v>
      </c>
      <c r="J38" s="361" t="s">
        <v>469</v>
      </c>
      <c r="K38" s="161"/>
      <c r="Q38" s="162" t="s">
        <v>33</v>
      </c>
      <c r="T38" s="359">
        <f>IF(I18&lt;201,4,"")</f>
        <v>4</v>
      </c>
    </row>
    <row r="39" spans="1:25" ht="20.25" customHeight="1">
      <c r="A39" s="161"/>
      <c r="G39" s="487" t="s">
        <v>871</v>
      </c>
      <c r="H39" s="488"/>
      <c r="I39" s="153">
        <f>IF(I30&gt;150,Y63,Y62)</f>
        <v>2.5</v>
      </c>
      <c r="J39" s="129" t="s">
        <v>469</v>
      </c>
      <c r="K39" s="161"/>
      <c r="N39"/>
      <c r="Q39" s="162" t="s">
        <v>36</v>
      </c>
      <c r="T39" s="359">
        <f>IF(I18&lt;151,2.5,"")</f>
        <v>2.5</v>
      </c>
    </row>
    <row r="40" spans="1:25" ht="20.25" customHeight="1">
      <c r="A40" s="161"/>
      <c r="G40" s="491" t="s">
        <v>478</v>
      </c>
      <c r="H40" s="492"/>
      <c r="I40" s="153">
        <f>I38+I39+1.5</f>
        <v>10</v>
      </c>
      <c r="J40" s="129" t="s">
        <v>469</v>
      </c>
      <c r="K40" s="161"/>
      <c r="Q40" s="162" t="s">
        <v>39</v>
      </c>
      <c r="T40" s="359">
        <f>IF(I18&lt;101,1.5,"")</f>
        <v>1.5</v>
      </c>
    </row>
    <row r="41" spans="1:25" ht="20.25" customHeight="1">
      <c r="A41" s="161"/>
      <c r="G41" s="493" t="s">
        <v>499</v>
      </c>
      <c r="H41" s="494"/>
      <c r="I41" s="405"/>
      <c r="J41" s="320" t="s">
        <v>469</v>
      </c>
      <c r="K41" s="161"/>
      <c r="Q41" s="162" t="s">
        <v>44</v>
      </c>
      <c r="T41" s="362"/>
    </row>
    <row r="42" spans="1:25" ht="20.25" customHeight="1">
      <c r="A42" s="161"/>
      <c r="H42" s="363" t="s">
        <v>475</v>
      </c>
      <c r="I42" s="364"/>
      <c r="J42" s="365"/>
      <c r="K42" s="161"/>
      <c r="Q42" s="162" t="s">
        <v>45</v>
      </c>
    </row>
    <row r="43" spans="1:25" ht="20.25" customHeight="1">
      <c r="A43" s="161"/>
      <c r="H43" s="502" t="s">
        <v>922</v>
      </c>
      <c r="I43" s="502"/>
      <c r="J43" s="503"/>
      <c r="K43" s="161"/>
      <c r="Q43" s="162" t="s">
        <v>27</v>
      </c>
      <c r="U43" s="162" t="s">
        <v>916</v>
      </c>
      <c r="V43" s="362">
        <f>'Estimating Form'!D20+'Estimating Form'!D22</f>
        <v>0</v>
      </c>
    </row>
    <row r="44" spans="1:25" ht="20.25" customHeight="1">
      <c r="A44" s="161"/>
      <c r="H44" s="502"/>
      <c r="I44" s="502"/>
      <c r="J44" s="503"/>
      <c r="K44" s="161"/>
      <c r="Q44" s="162" t="s">
        <v>53</v>
      </c>
      <c r="T44" s="362"/>
    </row>
    <row r="45" spans="1:25" ht="20.25" customHeight="1">
      <c r="A45" s="161"/>
      <c r="H45" s="366" t="s">
        <v>21</v>
      </c>
      <c r="I45" s="406"/>
      <c r="J45" s="163" t="s">
        <v>469</v>
      </c>
      <c r="K45" s="161"/>
      <c r="Q45" s="162" t="s">
        <v>56</v>
      </c>
    </row>
    <row r="46" spans="1:25" ht="20.25" customHeight="1">
      <c r="A46" s="161"/>
      <c r="H46" s="367" t="s">
        <v>464</v>
      </c>
      <c r="I46" s="406"/>
      <c r="J46" s="163" t="s">
        <v>469</v>
      </c>
      <c r="K46" s="161"/>
      <c r="Q46" s="162" t="s">
        <v>57</v>
      </c>
    </row>
    <row r="47" spans="1:25" ht="20.25" customHeight="1">
      <c r="A47" s="161"/>
      <c r="H47" s="367" t="s">
        <v>22</v>
      </c>
      <c r="I47" s="406"/>
      <c r="J47" s="163" t="s">
        <v>469</v>
      </c>
      <c r="K47" s="161"/>
      <c r="Q47" s="162" t="s">
        <v>60</v>
      </c>
      <c r="T47" s="362"/>
    </row>
    <row r="48" spans="1:25" ht="20.25" customHeight="1">
      <c r="A48" s="161"/>
      <c r="H48" s="367" t="s">
        <v>23</v>
      </c>
      <c r="I48" s="406"/>
      <c r="J48" s="163" t="s">
        <v>469</v>
      </c>
      <c r="K48" s="161"/>
      <c r="Q48" s="162" t="s">
        <v>61</v>
      </c>
      <c r="U48" s="162" t="s">
        <v>918</v>
      </c>
      <c r="Y48" s="162" t="s">
        <v>917</v>
      </c>
    </row>
    <row r="49" spans="1:79" ht="20.25" customHeight="1">
      <c r="A49" s="161"/>
      <c r="H49" s="367" t="s">
        <v>24</v>
      </c>
      <c r="I49" s="406"/>
      <c r="J49" s="163" t="s">
        <v>469</v>
      </c>
      <c r="K49" s="161"/>
      <c r="Q49" s="162" t="s">
        <v>62</v>
      </c>
      <c r="Y49" s="162">
        <v>2.5</v>
      </c>
    </row>
    <row r="50" spans="1:79" ht="20.25" customHeight="1">
      <c r="A50" s="161"/>
      <c r="H50" s="367" t="s">
        <v>940</v>
      </c>
      <c r="I50" s="406"/>
      <c r="J50" s="163" t="s">
        <v>469</v>
      </c>
      <c r="K50" s="161"/>
      <c r="Q50" s="162" t="s">
        <v>63</v>
      </c>
      <c r="T50" s="362"/>
      <c r="U50" s="500" t="s">
        <v>916</v>
      </c>
      <c r="V50" s="500"/>
    </row>
    <row r="51" spans="1:79" ht="20.25" customHeight="1">
      <c r="A51" s="164"/>
      <c r="B51" s="165"/>
      <c r="C51" s="166"/>
      <c r="D51" s="166"/>
      <c r="E51" s="166"/>
      <c r="F51" s="166"/>
      <c r="H51" s="366" t="s">
        <v>939</v>
      </c>
      <c r="I51" s="368">
        <f>IF(COUNTIF(I45:I46,0)&gt;0,"",I45-I46)</f>
        <v>0</v>
      </c>
      <c r="J51" s="163" t="s">
        <v>469</v>
      </c>
      <c r="K51" s="161"/>
      <c r="Q51" s="162" t="s">
        <v>64</v>
      </c>
      <c r="U51" s="162">
        <v>1544</v>
      </c>
      <c r="V51" s="162">
        <v>2636</v>
      </c>
      <c r="W51" s="162">
        <v>4</v>
      </c>
      <c r="CA51" s="392" t="s">
        <v>466</v>
      </c>
    </row>
    <row r="52" spans="1:79" ht="20.25" customHeight="1">
      <c r="A52" s="137"/>
      <c r="B52" s="126"/>
      <c r="C52" s="126"/>
      <c r="D52" s="126"/>
      <c r="E52" s="126"/>
      <c r="F52" s="126"/>
      <c r="H52" s="366" t="s">
        <v>466</v>
      </c>
      <c r="I52" s="406"/>
      <c r="J52" s="163" t="s">
        <v>469</v>
      </c>
      <c r="K52" s="161"/>
      <c r="Q52" s="162" t="s">
        <v>65</v>
      </c>
      <c r="U52" s="162">
        <v>2637</v>
      </c>
      <c r="V52" s="162">
        <v>4359</v>
      </c>
      <c r="W52" s="162">
        <v>5.5</v>
      </c>
      <c r="CA52" s="393" t="s">
        <v>465</v>
      </c>
    </row>
    <row r="53" spans="1:79" ht="20.25" customHeight="1">
      <c r="A53" s="137"/>
      <c r="B53" s="126"/>
      <c r="C53" s="148"/>
      <c r="D53" s="126"/>
      <c r="E53" s="126"/>
      <c r="F53" s="126"/>
      <c r="H53" s="366" t="s">
        <v>465</v>
      </c>
      <c r="I53" s="406"/>
      <c r="J53" s="163" t="s">
        <v>469</v>
      </c>
      <c r="K53" s="161"/>
      <c r="T53" s="362"/>
      <c r="U53" s="162">
        <v>4360</v>
      </c>
      <c r="V53" s="162">
        <v>5271</v>
      </c>
      <c r="W53" s="162">
        <v>4</v>
      </c>
    </row>
    <row r="54" spans="1:79" ht="20.25" customHeight="1">
      <c r="A54" s="137"/>
      <c r="B54" s="135"/>
      <c r="C54" s="135"/>
      <c r="D54" s="126"/>
      <c r="E54" s="126"/>
      <c r="F54" s="126"/>
      <c r="H54" s="387" t="s">
        <v>470</v>
      </c>
      <c r="I54" s="406"/>
      <c r="J54" s="163" t="s">
        <v>469</v>
      </c>
      <c r="K54" s="161"/>
      <c r="R54" s="384"/>
      <c r="U54" s="162">
        <v>5272</v>
      </c>
      <c r="V54" s="162">
        <v>8718</v>
      </c>
      <c r="W54" s="162">
        <v>5.5</v>
      </c>
    </row>
    <row r="55" spans="1:79" ht="20.25" customHeight="1">
      <c r="A55" s="137"/>
      <c r="B55" s="126"/>
      <c r="C55" s="148"/>
      <c r="D55" s="126"/>
      <c r="E55" s="149"/>
      <c r="F55" s="149"/>
      <c r="H55" s="388" t="s">
        <v>921</v>
      </c>
      <c r="I55" s="406"/>
      <c r="J55" s="163" t="s">
        <v>469</v>
      </c>
      <c r="K55" s="161"/>
      <c r="U55" s="162">
        <v>8719</v>
      </c>
      <c r="V55" s="162">
        <v>13077</v>
      </c>
      <c r="W55" s="162">
        <v>5.5</v>
      </c>
    </row>
    <row r="56" spans="1:79" ht="20.25" customHeight="1">
      <c r="A56" s="137"/>
      <c r="B56" s="135"/>
      <c r="C56" s="135"/>
      <c r="D56" s="126"/>
      <c r="E56" s="126"/>
      <c r="F56" s="126"/>
      <c r="J56" s="163"/>
      <c r="K56" s="161"/>
      <c r="Q56" s="162" t="str">
        <f>IF(OR('Estimating Form'!$E$41="3S-SW",'Estimating Form'!$E$41="3S-HW"),10.875,IF(OR('Estimating Form'!$E$41="4S-SW",'Estimating Form'!$E$41="4S-HW"),12.75,IF(OR('Estimating Form'!$E$41="5S-SW",'Estimating Form'!$E$41="5S-HW",'Estimating Form'!$E$41="6S-SW",'Estimating Form'!$E$41="6S-HW"),14,IF(OR('Estimating Form'!$E$41="7S-SW",'Estimating Form'!$E$41="7S-HW",'Estimating Form'!$E$41="8S-SW",'Estimating Form'!$E$41="8S-HW"),16,""))))</f>
        <v/>
      </c>
      <c r="T56" s="362"/>
      <c r="U56" s="162">
        <v>13078</v>
      </c>
      <c r="V56" s="162">
        <v>17436</v>
      </c>
      <c r="W56" s="162">
        <v>5.5</v>
      </c>
    </row>
    <row r="57" spans="1:79" ht="20.25" customHeight="1">
      <c r="A57" s="137"/>
      <c r="B57" s="126"/>
      <c r="C57" s="148"/>
      <c r="D57" s="126"/>
      <c r="E57" s="126"/>
      <c r="F57" s="126"/>
      <c r="J57" s="163"/>
      <c r="K57" s="161"/>
      <c r="U57" s="162">
        <v>17437</v>
      </c>
      <c r="V57" s="162">
        <v>26155</v>
      </c>
      <c r="W57" s="162">
        <v>5.5</v>
      </c>
    </row>
    <row r="58" spans="1:79" ht="20.25" customHeight="1">
      <c r="A58" s="137"/>
      <c r="B58" s="135"/>
      <c r="C58" s="135"/>
      <c r="D58" s="126"/>
      <c r="E58" s="126"/>
      <c r="F58" s="126"/>
      <c r="H58" s="367" t="s">
        <v>479</v>
      </c>
      <c r="I58" s="368" t="e">
        <f>ROUNDUP(Y81,0)</f>
        <v>#N/A</v>
      </c>
      <c r="J58" s="163" t="s">
        <v>469</v>
      </c>
      <c r="K58" s="161"/>
      <c r="U58" s="162">
        <v>26156</v>
      </c>
      <c r="V58" s="162">
        <v>34873</v>
      </c>
      <c r="W58" s="162">
        <v>5.5</v>
      </c>
    </row>
    <row r="59" spans="1:79" ht="20.25" customHeight="1">
      <c r="A59" s="137"/>
      <c r="B59" s="135"/>
      <c r="C59" s="135"/>
      <c r="D59" s="126"/>
      <c r="E59" s="126"/>
      <c r="F59" s="126"/>
      <c r="H59" s="367" t="s">
        <v>480</v>
      </c>
      <c r="I59" s="368" t="e">
        <f>IF(ISBLANK(I58),"",I58-I47)</f>
        <v>#N/A</v>
      </c>
      <c r="J59" s="163" t="s">
        <v>469</v>
      </c>
      <c r="K59" s="161"/>
      <c r="P59" s="162" t="str">
        <f>IF(ISBLANK($I$52),"2'' NPT","")</f>
        <v>2'' NPT</v>
      </c>
      <c r="Q59" s="162" t="str">
        <f>IF(ISBLANK($I$53),"2'' NPT","")</f>
        <v>2'' NPT</v>
      </c>
      <c r="T59" s="362"/>
      <c r="U59" s="162">
        <v>34874</v>
      </c>
      <c r="V59" s="162">
        <v>52309</v>
      </c>
      <c r="W59" s="162">
        <v>5.5</v>
      </c>
    </row>
    <row r="60" spans="1:79" ht="20.25" customHeight="1">
      <c r="A60" s="137"/>
      <c r="B60" s="135"/>
      <c r="C60" s="135"/>
      <c r="D60" s="126"/>
      <c r="E60" s="126"/>
      <c r="F60" s="126"/>
      <c r="H60" s="367" t="s">
        <v>481</v>
      </c>
      <c r="I60" s="176" t="e">
        <f>'Estimating Form'!C75</f>
        <v>#N/A</v>
      </c>
      <c r="J60" s="163" t="s">
        <v>469</v>
      </c>
      <c r="K60" s="161"/>
      <c r="P60" s="162" t="str">
        <f>IF(ISBLANK($I$52),"3'' NPT","")</f>
        <v>3'' NPT</v>
      </c>
      <c r="Q60" s="162" t="str">
        <f>IF(ISBLANK($I$53),"3'' NPT","")</f>
        <v>3'' NPT</v>
      </c>
      <c r="U60" s="162">
        <v>52310</v>
      </c>
      <c r="V60" s="162">
        <v>69745</v>
      </c>
      <c r="W60" s="162">
        <v>5.5</v>
      </c>
    </row>
    <row r="61" spans="1:79" ht="20.25" customHeight="1">
      <c r="A61" s="137"/>
      <c r="B61" s="135"/>
      <c r="C61" s="135"/>
      <c r="D61" s="126"/>
      <c r="E61" s="126"/>
      <c r="F61" s="126"/>
      <c r="H61" s="367" t="s">
        <v>482</v>
      </c>
      <c r="I61" s="176" t="str">
        <f>'Estimating Form'!C79</f>
        <v>N/A</v>
      </c>
      <c r="J61" s="163" t="s">
        <v>469</v>
      </c>
      <c r="K61" s="161"/>
      <c r="P61" s="162" t="str">
        <f>IF(ISBLANK($I$52),"4'' NPT","")</f>
        <v>4'' NPT</v>
      </c>
      <c r="Q61" s="162" t="str">
        <f>IF(ISBLANK($I$53),"4'' NPT","")</f>
        <v>4'' NPT</v>
      </c>
    </row>
    <row r="62" spans="1:79" ht="20.25" customHeight="1">
      <c r="A62" s="137"/>
      <c r="B62" s="135"/>
      <c r="C62" s="135"/>
      <c r="D62" s="126"/>
      <c r="E62" s="126"/>
      <c r="F62" s="126"/>
      <c r="H62" s="367" t="s">
        <v>483</v>
      </c>
      <c r="I62" s="176" t="e">
        <f>'Estimating Form'!C69</f>
        <v>#N/A</v>
      </c>
      <c r="J62" s="163" t="s">
        <v>469</v>
      </c>
      <c r="K62" s="161"/>
      <c r="P62" s="162" t="str">
        <f>IF(ISBLANK($I$52),"2'' VIC","")</f>
        <v>2'' VIC</v>
      </c>
      <c r="Q62" s="162" t="str">
        <f>IF(ISBLANK($I$53),"2'' VIC","")</f>
        <v>2'' VIC</v>
      </c>
      <c r="T62" s="362"/>
      <c r="U62" s="162" t="s">
        <v>919</v>
      </c>
      <c r="Y62" s="162">
        <v>2.5</v>
      </c>
    </row>
    <row r="63" spans="1:79" ht="21.75" customHeight="1">
      <c r="A63" s="137"/>
      <c r="B63" s="135"/>
      <c r="C63" s="135"/>
      <c r="D63" s="126"/>
      <c r="E63" s="126"/>
      <c r="H63" s="367" t="s">
        <v>484</v>
      </c>
      <c r="I63" s="176" t="e">
        <f>'Estimating Form'!C73</f>
        <v>#N/A</v>
      </c>
      <c r="J63" s="163" t="s">
        <v>469</v>
      </c>
      <c r="K63" s="161"/>
      <c r="P63" s="162" t="str">
        <f>IF(ISBLANK($I$52),"3'' VIC","")</f>
        <v>3'' VIC</v>
      </c>
      <c r="Q63" s="162" t="str">
        <f>IF(ISBLANK($I$53),"3'' VIC","")</f>
        <v>3'' VIC</v>
      </c>
      <c r="U63" s="162" t="s">
        <v>920</v>
      </c>
      <c r="Y63" s="162" t="e">
        <f>INDEX(U51:W60,MATCH(V43,V51:V60,1),3)</f>
        <v>#N/A</v>
      </c>
    </row>
    <row r="64" spans="1:79" ht="20.25" customHeight="1">
      <c r="A64" s="137"/>
      <c r="B64" s="135"/>
      <c r="C64" s="135"/>
      <c r="D64" s="126"/>
      <c r="E64" s="126"/>
      <c r="F64" s="126"/>
      <c r="H64" s="385"/>
      <c r="I64" s="385"/>
      <c r="J64" s="386"/>
      <c r="K64" s="161"/>
      <c r="M64" s="501"/>
      <c r="N64" s="501"/>
      <c r="O64" s="501"/>
      <c r="P64" s="162" t="str">
        <f>IF(ISBLANK($I$52),"4'' VIC","")</f>
        <v>4'' VIC</v>
      </c>
      <c r="Q64" s="162" t="str">
        <f>IF(ISBLANK($I$53),"4'' VIC","")</f>
        <v>4'' VIC</v>
      </c>
    </row>
    <row r="65" spans="1:31" ht="20.25" customHeight="1">
      <c r="A65" s="137"/>
      <c r="B65" s="135"/>
      <c r="C65" s="135"/>
      <c r="D65" s="126"/>
      <c r="E65" s="126"/>
      <c r="F65" s="126"/>
      <c r="H65" s="510" t="s">
        <v>923</v>
      </c>
      <c r="I65" s="510"/>
      <c r="J65" s="511"/>
      <c r="K65" s="161"/>
      <c r="M65" s="501"/>
      <c r="N65" s="501"/>
      <c r="O65" s="501"/>
      <c r="T65" s="362"/>
    </row>
    <row r="66" spans="1:31" ht="20.25" customHeight="1">
      <c r="A66" s="137"/>
      <c r="B66" s="135"/>
      <c r="C66" s="135"/>
      <c r="D66" s="126"/>
      <c r="E66" s="126"/>
      <c r="F66" s="126"/>
      <c r="H66" s="510"/>
      <c r="I66" s="510"/>
      <c r="J66" s="511"/>
      <c r="K66" s="161"/>
    </row>
    <row r="67" spans="1:31" ht="20.25" customHeight="1">
      <c r="A67" s="137"/>
      <c r="B67" s="135"/>
      <c r="C67" s="135"/>
      <c r="D67" s="126"/>
      <c r="E67" s="126"/>
      <c r="F67" s="126"/>
      <c r="H67" s="510"/>
      <c r="I67" s="510"/>
      <c r="J67" s="511"/>
      <c r="K67" s="161"/>
    </row>
    <row r="68" spans="1:31" ht="15" customHeight="1">
      <c r="A68" s="137"/>
      <c r="B68" s="135"/>
      <c r="C68" s="135"/>
      <c r="D68" s="126"/>
      <c r="E68" s="126"/>
      <c r="F68" s="126"/>
      <c r="H68" s="360"/>
      <c r="I68" s="178"/>
      <c r="J68" s="163"/>
      <c r="K68" s="161"/>
      <c r="AE68" s="190"/>
    </row>
    <row r="69" spans="1:31" ht="20.25" hidden="1" customHeight="1">
      <c r="A69" s="312"/>
      <c r="B69" s="310"/>
      <c r="C69" s="310" t="s">
        <v>486</v>
      </c>
      <c r="D69" s="313" t="str">
        <f>IF(OR('Estimating Form'!E41="3S-SW",'Estimating Form'!E41="3S-HW",'Estimating Form'!E41="4S-SW",'Estimating Form'!E41="4S-HW",'Estimating Form'!E41="5S-SW",'Estimating Form'!E41="5S-HW",'Estimating Form'!E41="6S-SW",'Estimating Form'!E41="6S-HW"),0.75,IF(OR('Estimating Form'!E41="7S-SW",'Estimating Form'!E41="7S-HW",'Estimating Form'!E41="8S-SW"),1,IF(OR('Estimating Form'!E41="9S-SW",'Estimating Form'!E41="10S-SW"),1.125,"")))</f>
        <v/>
      </c>
      <c r="E69" s="311" t="s">
        <v>469</v>
      </c>
      <c r="F69" s="311"/>
      <c r="G69" s="369"/>
      <c r="H69" s="310" t="s">
        <v>485</v>
      </c>
      <c r="I69" s="313" t="str">
        <f>IF(OR('Estimating Form'!E41="3S-SW",'Estimating Form'!E41="3S-HW"),0.258,IF(OR('Estimating Form'!E41="4S-SW",'Estimating Form'!E41="4S-HW"),0.28,IF(OR('Estimating Form'!E41="5S-SW",'Estimating Form'!E41="5S-HW",'Estimating Form'!E41="6S-SW",'Estimating Form'!E41="6S-HW"),0.322,IF(OR('Estimating Form'!E41="7S-SW",'Estimating Form'!E41="7S-HW",'Estimating Form'!E41="8S-SW"),0.365,IF(OR('Estimating Form'!E41="9S-SW",'Estimating Form'!E41="10S-SW"),0.375,"")))))</f>
        <v/>
      </c>
      <c r="J69" s="314" t="s">
        <v>469</v>
      </c>
      <c r="K69" s="161"/>
      <c r="AE69" s="190"/>
    </row>
    <row r="70" spans="1:31" ht="4.5" customHeight="1" thickBot="1">
      <c r="A70" s="150"/>
      <c r="B70" s="147"/>
      <c r="C70" s="151"/>
      <c r="D70" s="147"/>
      <c r="E70" s="147"/>
      <c r="F70" s="147"/>
      <c r="G70" s="152"/>
      <c r="H70" s="167"/>
      <c r="I70" s="167"/>
      <c r="J70" s="168"/>
      <c r="K70" s="161"/>
      <c r="AE70" s="190"/>
    </row>
    <row r="71" spans="1:31" ht="24.75" customHeight="1" thickBot="1">
      <c r="A71" s="482" t="s">
        <v>966</v>
      </c>
      <c r="B71" s="429"/>
      <c r="C71" s="429"/>
      <c r="D71" s="429"/>
      <c r="E71" s="429"/>
      <c r="F71" s="429"/>
      <c r="G71" s="429"/>
      <c r="H71" s="429"/>
      <c r="I71" s="429"/>
      <c r="J71" s="483"/>
      <c r="K71" s="161"/>
      <c r="AE71" s="190"/>
    </row>
    <row r="72" spans="1:31">
      <c r="A72" s="183"/>
      <c r="B72" s="135"/>
      <c r="C72" s="135"/>
      <c r="D72" s="126"/>
      <c r="E72" s="126"/>
      <c r="F72" s="126"/>
      <c r="G72" s="126"/>
      <c r="H72" s="116"/>
      <c r="I72" s="116"/>
      <c r="J72" s="183"/>
      <c r="AA72" s="162" t="s">
        <v>24</v>
      </c>
      <c r="AB72" s="162" t="s">
        <v>21</v>
      </c>
      <c r="AE72" s="190"/>
    </row>
    <row r="73" spans="1:31" ht="20.25">
      <c r="C73" s="181"/>
      <c r="G73" s="169"/>
      <c r="I73" s="116"/>
      <c r="J73" s="126"/>
      <c r="Z73" s="162" t="s">
        <v>931</v>
      </c>
      <c r="AA73" s="162">
        <v>9.375</v>
      </c>
      <c r="AC73" s="162">
        <v>3.8730000000000002</v>
      </c>
      <c r="AE73" s="190"/>
    </row>
    <row r="74" spans="1:31">
      <c r="A74" s="126"/>
      <c r="B74" s="126"/>
      <c r="C74" s="148"/>
      <c r="D74" s="126"/>
      <c r="E74" s="126"/>
      <c r="F74" s="126"/>
      <c r="G74" s="141"/>
      <c r="H74" s="182"/>
      <c r="I74" s="182"/>
      <c r="J74" s="126"/>
      <c r="Q74" s="162" t="s">
        <v>927</v>
      </c>
      <c r="Z74" s="162" t="s">
        <v>928</v>
      </c>
      <c r="AA74" s="162">
        <v>8.8125</v>
      </c>
      <c r="AB74" s="162">
        <v>10.1875</v>
      </c>
      <c r="AC74" s="162">
        <v>4.3600000000000003</v>
      </c>
      <c r="AE74" s="190"/>
    </row>
    <row r="75" spans="1:31">
      <c r="Q75" s="162" t="s">
        <v>22</v>
      </c>
      <c r="W75" s="162" t="e">
        <f>IF(I62&lt;9.488, 3, 2.5)</f>
        <v>#N/A</v>
      </c>
      <c r="Z75" s="162" t="s">
        <v>929</v>
      </c>
      <c r="AA75" s="162">
        <v>9.1875</v>
      </c>
      <c r="AB75" s="162">
        <v>9.75</v>
      </c>
      <c r="AC75" s="162">
        <v>5.4249999999999998</v>
      </c>
      <c r="AE75" s="190"/>
    </row>
    <row r="76" spans="1:31">
      <c r="A76" s="126"/>
      <c r="B76" s="126"/>
      <c r="C76" s="126"/>
      <c r="D76" s="126"/>
      <c r="E76" s="126"/>
      <c r="F76" s="126"/>
      <c r="G76" s="126"/>
      <c r="H76" s="126"/>
      <c r="I76" s="126"/>
      <c r="J76" s="126"/>
      <c r="Q76" s="162" t="s">
        <v>924</v>
      </c>
      <c r="T76" s="362"/>
      <c r="W76" s="370" t="e">
        <f>I45-I47+I48+I40+W75</f>
        <v>#N/A</v>
      </c>
      <c r="Z76" s="162" t="s">
        <v>930</v>
      </c>
      <c r="AA76" s="162">
        <v>9.1875</v>
      </c>
      <c r="AB76" s="162">
        <v>9.75</v>
      </c>
      <c r="AC76" s="162">
        <v>6.4850000000000003</v>
      </c>
      <c r="AE76" s="190"/>
    </row>
    <row r="77" spans="1:31">
      <c r="Q77" s="162" t="s">
        <v>889</v>
      </c>
      <c r="Z77" s="162" t="s">
        <v>932</v>
      </c>
      <c r="AA77" s="162">
        <v>9.9375</v>
      </c>
      <c r="AB77" s="162">
        <v>10.9375</v>
      </c>
      <c r="AC77" s="162">
        <v>7.4880000000000004</v>
      </c>
      <c r="AE77" s="190"/>
    </row>
    <row r="78" spans="1:31">
      <c r="Q78" s="162" t="s">
        <v>925</v>
      </c>
      <c r="W78" s="162" t="e">
        <f>JAXSAFAC!$A$8*12+INDEX($Z$73:$AC$80,MATCH($I$62,$AC$73:$AC$80,0),2)</f>
        <v>#N/A</v>
      </c>
      <c r="Z78" s="162" t="s">
        <v>933</v>
      </c>
      <c r="AA78" s="162">
        <v>9.9375</v>
      </c>
      <c r="AB78" s="162">
        <v>10.9375</v>
      </c>
      <c r="AC78" s="162">
        <v>8.4879999999999995</v>
      </c>
      <c r="AE78" s="190"/>
    </row>
    <row r="79" spans="1:31">
      <c r="Q79" s="162" t="s">
        <v>926</v>
      </c>
      <c r="W79" s="162" t="e">
        <f>JAXSAFAC!$A$8*12+INDEX($Z$73:$AC$80,MATCH($I$62,$AC$73:$AC$80,0),3)</f>
        <v>#N/A</v>
      </c>
      <c r="Z79" s="162" t="s">
        <v>934</v>
      </c>
      <c r="AA79" s="162">
        <v>12.9375</v>
      </c>
      <c r="AB79" s="162">
        <v>14.375</v>
      </c>
      <c r="AC79" s="162">
        <v>9.4879999999999995</v>
      </c>
      <c r="AE79" s="190"/>
    </row>
    <row r="80" spans="1:31">
      <c r="Z80" s="162" t="s">
        <v>935</v>
      </c>
      <c r="AA80" s="162">
        <v>13.3125</v>
      </c>
      <c r="AB80" s="162">
        <v>14.375</v>
      </c>
      <c r="AC80" s="162">
        <v>10.613</v>
      </c>
      <c r="AE80" s="190"/>
    </row>
    <row r="81" spans="17:31">
      <c r="Q81" s="162" t="s">
        <v>936</v>
      </c>
      <c r="Y81" s="162" t="e">
        <f>IF('Estimating Form'!G46="Yes",'Survey Form'!W79+'Survey Form'!W76+18+3,'Survey Form'!W78+'Survey Form'!W76+18+3)</f>
        <v>#N/A</v>
      </c>
      <c r="AE81" s="190"/>
    </row>
    <row r="82" spans="17:31">
      <c r="AE82" s="190"/>
    </row>
    <row r="83" spans="17:31">
      <c r="AE83" s="190"/>
    </row>
  </sheetData>
  <sheetProtection algorithmName="SHA-512" hashValue="CkpWQbt6t7JAXyQEaU8IGi2HIayc0pywgOPyH+C/dPf+x6QmjdermXXQ/3vtjg4PC3NVqSNZ8pwuIsH3YV/5LQ==" saltValue="f6Us9cNggbJEYT0oliU0oQ==" spinCount="100000" sheet="1" selectLockedCells="1"/>
  <mergeCells count="27">
    <mergeCell ref="A1:C5"/>
    <mergeCell ref="U50:V50"/>
    <mergeCell ref="M64:O65"/>
    <mergeCell ref="H43:J44"/>
    <mergeCell ref="G39:H39"/>
    <mergeCell ref="A26:C26"/>
    <mergeCell ref="G12:I12"/>
    <mergeCell ref="B14:E14"/>
    <mergeCell ref="G38:H38"/>
    <mergeCell ref="H36:J36"/>
    <mergeCell ref="H65:J67"/>
    <mergeCell ref="A71:J71"/>
    <mergeCell ref="C8:G8"/>
    <mergeCell ref="B10:D10"/>
    <mergeCell ref="B12:D12"/>
    <mergeCell ref="G37:H37"/>
    <mergeCell ref="C16:G16"/>
    <mergeCell ref="G28:I28"/>
    <mergeCell ref="A34:J34"/>
    <mergeCell ref="A18:C18"/>
    <mergeCell ref="A20:C20"/>
    <mergeCell ref="A22:C22"/>
    <mergeCell ref="G40:H40"/>
    <mergeCell ref="G41:H41"/>
    <mergeCell ref="A24:C24"/>
    <mergeCell ref="F10:G10"/>
    <mergeCell ref="H10:I10"/>
  </mergeCells>
  <conditionalFormatting sqref="I26">
    <cfRule type="cellIs" dxfId="18" priority="20" operator="lessThan">
      <formula>$I$18*0.9</formula>
    </cfRule>
    <cfRule type="cellIs" dxfId="17" priority="21" operator="greaterThan">
      <formula>$I$18*1.1</formula>
    </cfRule>
  </conditionalFormatting>
  <conditionalFormatting sqref="H10:I10">
    <cfRule type="expression" dxfId="16" priority="13">
      <formula>$H$10=""</formula>
    </cfRule>
  </conditionalFormatting>
  <conditionalFormatting sqref="I58:I59">
    <cfRule type="expression" dxfId="15" priority="46">
      <formula>$I$51&gt;0</formula>
    </cfRule>
  </conditionalFormatting>
  <conditionalFormatting sqref="I52">
    <cfRule type="expression" dxfId="14" priority="4">
      <formula>ISBLANK($I$53)=FALSE</formula>
    </cfRule>
  </conditionalFormatting>
  <conditionalFormatting sqref="I53">
    <cfRule type="expression" dxfId="13" priority="3">
      <formula>ISBLANK($I$52)=FALSE</formula>
    </cfRule>
  </conditionalFormatting>
  <conditionalFormatting sqref="CA51">
    <cfRule type="expression" dxfId="12" priority="2">
      <formula>ISBLANK($I$52)=FALSE</formula>
    </cfRule>
  </conditionalFormatting>
  <conditionalFormatting sqref="CA52">
    <cfRule type="expression" dxfId="11" priority="1">
      <formula>ISBLANK($I$53)=FALSE</formula>
    </cfRule>
  </conditionalFormatting>
  <dataValidations xWindow="900" yWindow="451" count="4">
    <dataValidation type="decimal" allowBlank="1" showInputMessage="1" showErrorMessage="1" sqref="I37" xr:uid="{00000000-0002-0000-0100-000001000000}">
      <formula1>3</formula1>
      <formula2>9</formula2>
    </dataValidation>
    <dataValidation allowBlank="1" showErrorMessage="1" promptTitle="Buffers" prompt="Only needed when not buying new buffers." sqref="I38" xr:uid="{00000000-0002-0000-0100-000004000000}"/>
    <dataValidation type="list" allowBlank="1" showInputMessage="1" showErrorMessage="1" sqref="I53" xr:uid="{00000000-0002-0000-0100-000002000000}">
      <formula1>$P$59:$P$64</formula1>
    </dataValidation>
    <dataValidation type="list" allowBlank="1" showInputMessage="1" showErrorMessage="1" sqref="I52" xr:uid="{5AFA0C90-F68B-4D30-AB72-F40951C82734}">
      <formula1>$Q$59:$Q$64</formula1>
    </dataValidation>
  </dataValidations>
  <printOptions horizontalCentered="1" verticalCentered="1"/>
  <pageMargins left="0.25" right="0.25" top="0.25" bottom="0.25" header="0.3" footer="0.3"/>
  <pageSetup scale="6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transitionEntry="1" codeName="Sheet3"/>
  <dimension ref="A1:AC1048"/>
  <sheetViews>
    <sheetView showGridLines="0" zoomScale="70" zoomScaleNormal="70" workbookViewId="0">
      <selection activeCell="AC10" sqref="AC10"/>
    </sheetView>
  </sheetViews>
  <sheetFormatPr defaultColWidth="8.125" defaultRowHeight="12"/>
  <cols>
    <col min="1" max="1" width="15" customWidth="1"/>
    <col min="2" max="2" width="10.75" customWidth="1"/>
    <col min="3" max="7" width="8.125" customWidth="1"/>
    <col min="8" max="8" width="17.375" customWidth="1"/>
    <col min="9" max="13" width="8.125" customWidth="1"/>
    <col min="14" max="14" width="10.25" customWidth="1"/>
    <col min="15" max="25" width="8.125" customWidth="1"/>
    <col min="26" max="26" width="17.75" customWidth="1"/>
  </cols>
  <sheetData>
    <row r="1" spans="1:26" ht="12.75">
      <c r="A1" s="1"/>
      <c r="B1" s="2" t="s">
        <v>0</v>
      </c>
      <c r="C1" s="1"/>
      <c r="D1" s="1"/>
      <c r="E1" s="1"/>
      <c r="F1" s="1"/>
      <c r="G1" s="1"/>
    </row>
    <row r="2" spans="1:26" ht="12.75">
      <c r="A2" s="1"/>
      <c r="B2" s="1"/>
      <c r="C2" s="2" t="s">
        <v>1</v>
      </c>
      <c r="D2" s="1"/>
      <c r="E2" s="1"/>
      <c r="F2" s="1"/>
      <c r="G2" s="1"/>
    </row>
    <row r="3" spans="1:26" ht="12.75">
      <c r="A3" s="3"/>
      <c r="B3" s="15"/>
      <c r="C3" s="16"/>
      <c r="D3" s="16"/>
      <c r="E3" s="17"/>
      <c r="F3" s="18"/>
      <c r="G3" s="19"/>
      <c r="H3" s="4" t="s">
        <v>1</v>
      </c>
    </row>
    <row r="4" spans="1:26" ht="12.75">
      <c r="A4" s="3"/>
      <c r="B4" s="15"/>
      <c r="C4" s="16"/>
      <c r="D4" s="16"/>
      <c r="E4" s="16"/>
      <c r="F4" s="16"/>
      <c r="G4" s="20"/>
      <c r="H4" s="4" t="s">
        <v>1</v>
      </c>
      <c r="J4" s="4" t="s">
        <v>2</v>
      </c>
      <c r="M4" s="4" t="s">
        <v>3</v>
      </c>
    </row>
    <row r="5" spans="1:26" ht="12.75">
      <c r="A5" s="1"/>
      <c r="B5" s="1"/>
      <c r="C5" s="1"/>
      <c r="D5" s="1"/>
      <c r="E5" s="1"/>
      <c r="F5" s="1"/>
      <c r="G5" s="1"/>
      <c r="J5" s="5">
        <f>2.85*10^8</f>
        <v>285000000</v>
      </c>
      <c r="K5" s="4" t="s">
        <v>4</v>
      </c>
      <c r="N5" s="4" t="s">
        <v>5</v>
      </c>
      <c r="O5" s="6" t="s">
        <v>6</v>
      </c>
      <c r="P5" s="6" t="s">
        <v>7</v>
      </c>
      <c r="Q5" s="6" t="s">
        <v>8</v>
      </c>
      <c r="R5" s="6" t="s">
        <v>9</v>
      </c>
      <c r="S5" s="6" t="s">
        <v>10</v>
      </c>
      <c r="T5" s="6" t="s">
        <v>11</v>
      </c>
      <c r="U5" s="6" t="s">
        <v>11</v>
      </c>
      <c r="V5" s="6" t="s">
        <v>11</v>
      </c>
      <c r="W5" s="6" t="s">
        <v>11</v>
      </c>
      <c r="X5" s="6" t="s">
        <v>12</v>
      </c>
      <c r="Y5" s="520" t="s">
        <v>13</v>
      </c>
      <c r="Z5" s="520"/>
    </row>
    <row r="6" spans="1:26" ht="12.75">
      <c r="A6" s="1"/>
      <c r="B6" s="1"/>
      <c r="C6" s="1"/>
      <c r="D6" s="1"/>
      <c r="E6" s="1"/>
      <c r="F6" s="1"/>
      <c r="G6" s="1"/>
      <c r="J6">
        <f>VLOOKUP(A7,M4:Z34,4,FALSE)</f>
        <v>2.8980000000000001</v>
      </c>
      <c r="K6" s="4" t="s">
        <v>14</v>
      </c>
      <c r="M6" s="4" t="s">
        <v>15</v>
      </c>
      <c r="N6" s="4" t="s">
        <v>16</v>
      </c>
      <c r="O6" s="6" t="s">
        <v>17</v>
      </c>
      <c r="P6" s="6" t="s">
        <v>17</v>
      </c>
      <c r="Q6" s="6" t="s">
        <v>18</v>
      </c>
      <c r="R6" s="6" t="s">
        <v>19</v>
      </c>
      <c r="S6" s="6" t="s">
        <v>20</v>
      </c>
      <c r="T6" s="6" t="s">
        <v>21</v>
      </c>
      <c r="U6" s="6" t="s">
        <v>22</v>
      </c>
      <c r="V6" s="6" t="s">
        <v>23</v>
      </c>
      <c r="W6" s="6" t="s">
        <v>24</v>
      </c>
      <c r="Y6" s="6" t="s">
        <v>25</v>
      </c>
      <c r="Z6" s="4" t="s">
        <v>26</v>
      </c>
    </row>
    <row r="7" spans="1:26" ht="12.75">
      <c r="A7" s="11" t="s">
        <v>30</v>
      </c>
      <c r="B7" s="3" t="s">
        <v>28</v>
      </c>
      <c r="C7" s="7"/>
      <c r="D7" s="7"/>
      <c r="E7" s="7"/>
      <c r="F7" s="7"/>
      <c r="G7" s="3" t="s">
        <v>1</v>
      </c>
      <c r="J7">
        <f>(A10)</f>
        <v>0</v>
      </c>
      <c r="K7" s="4" t="s">
        <v>29</v>
      </c>
      <c r="M7" s="21" t="s">
        <v>30</v>
      </c>
      <c r="N7">
        <v>492</v>
      </c>
      <c r="O7">
        <v>11.781000000000001</v>
      </c>
      <c r="P7">
        <v>2.8980000000000001</v>
      </c>
      <c r="Q7">
        <v>4.766</v>
      </c>
      <c r="R7">
        <v>1.282</v>
      </c>
      <c r="S7">
        <v>9.8620000000000001</v>
      </c>
      <c r="T7">
        <v>0</v>
      </c>
      <c r="U7">
        <v>3</v>
      </c>
      <c r="V7">
        <v>6.75</v>
      </c>
      <c r="W7">
        <v>9.375</v>
      </c>
      <c r="X7">
        <v>22</v>
      </c>
      <c r="Y7">
        <v>10.47</v>
      </c>
      <c r="Z7">
        <v>0</v>
      </c>
    </row>
    <row r="8" spans="1:26" ht="12.75">
      <c r="A8" s="319">
        <f>('Estimating Form'!$D$18)/12+K956</f>
        <v>1.3333333333333333</v>
      </c>
      <c r="B8" s="3" t="s">
        <v>31</v>
      </c>
      <c r="C8" s="7"/>
      <c r="D8" s="7"/>
      <c r="E8" s="7"/>
      <c r="F8" s="7"/>
      <c r="G8" s="7"/>
      <c r="J8">
        <f>VLOOKUP(A7,M4:Z35,7,FALSE)</f>
        <v>9.8620000000000001</v>
      </c>
      <c r="K8" s="4" t="s">
        <v>32</v>
      </c>
      <c r="M8" s="22" t="s">
        <v>33</v>
      </c>
      <c r="N8" s="13">
        <v>492</v>
      </c>
      <c r="O8" s="13">
        <v>11.781000000000001</v>
      </c>
      <c r="P8" s="13">
        <v>5.94</v>
      </c>
      <c r="Q8" s="13">
        <v>8.33</v>
      </c>
      <c r="R8" s="13">
        <v>1.1839999999999999</v>
      </c>
      <c r="S8" s="13">
        <v>20.213999999999999</v>
      </c>
      <c r="T8" s="13">
        <v>0</v>
      </c>
      <c r="U8" s="13">
        <v>3</v>
      </c>
      <c r="V8" s="13">
        <v>6.75</v>
      </c>
      <c r="W8" s="13">
        <v>9.375</v>
      </c>
      <c r="X8" s="13">
        <v>22</v>
      </c>
      <c r="Y8" s="13">
        <v>10.47</v>
      </c>
      <c r="Z8" s="13">
        <v>0</v>
      </c>
    </row>
    <row r="9" spans="1:26" ht="12.75">
      <c r="A9" s="11">
        <v>0</v>
      </c>
      <c r="B9" s="3" t="s">
        <v>34</v>
      </c>
      <c r="C9" s="7"/>
      <c r="D9" s="7"/>
      <c r="E9" s="7"/>
      <c r="F9" s="7"/>
      <c r="G9" s="7"/>
      <c r="J9">
        <f>VLOOKUP(A7,M4:Z34,6,FALSE)</f>
        <v>1.282</v>
      </c>
      <c r="K9" s="4" t="s">
        <v>35</v>
      </c>
      <c r="M9" s="21" t="s">
        <v>36</v>
      </c>
      <c r="N9">
        <v>594</v>
      </c>
      <c r="O9">
        <v>14.93</v>
      </c>
      <c r="P9">
        <v>3.3490000000000002</v>
      </c>
      <c r="Q9">
        <v>7.0650000000000004</v>
      </c>
      <c r="R9">
        <v>1.452</v>
      </c>
      <c r="S9">
        <v>11.396000000000001</v>
      </c>
      <c r="T9">
        <v>9.3125</v>
      </c>
      <c r="U9">
        <v>3</v>
      </c>
      <c r="V9">
        <v>5.5</v>
      </c>
      <c r="W9">
        <v>8.8125</v>
      </c>
      <c r="X9">
        <v>29</v>
      </c>
      <c r="Y9">
        <v>9.52</v>
      </c>
      <c r="Z9">
        <v>16.670000000000002</v>
      </c>
    </row>
    <row r="10" spans="1:26" ht="12.75">
      <c r="A10" s="11">
        <f>'Estimating Form'!$G$22</f>
        <v>0</v>
      </c>
      <c r="B10" s="3" t="s">
        <v>37</v>
      </c>
      <c r="C10" s="7"/>
      <c r="D10" s="7"/>
      <c r="E10" s="7"/>
      <c r="F10" s="7"/>
      <c r="G10" s="7"/>
      <c r="J10">
        <f>(A8*12+A9)</f>
        <v>16</v>
      </c>
      <c r="K10" s="4" t="s">
        <v>38</v>
      </c>
      <c r="M10" s="21" t="s">
        <v>39</v>
      </c>
      <c r="N10">
        <v>594</v>
      </c>
      <c r="O10">
        <v>14.93</v>
      </c>
      <c r="P10">
        <v>5.5170000000000003</v>
      </c>
      <c r="Q10">
        <v>10.686999999999999</v>
      </c>
      <c r="R10">
        <v>1.3919999999999999</v>
      </c>
      <c r="S10">
        <v>18.771999999999998</v>
      </c>
      <c r="T10">
        <v>9.3125</v>
      </c>
      <c r="U10">
        <v>3</v>
      </c>
      <c r="V10">
        <v>5.5</v>
      </c>
      <c r="W10">
        <v>8.8125</v>
      </c>
      <c r="X10">
        <v>29</v>
      </c>
      <c r="Y10">
        <v>9.52</v>
      </c>
      <c r="Z10">
        <v>16.670000000000002</v>
      </c>
    </row>
    <row r="11" spans="1:26" ht="12.75">
      <c r="A11" s="11">
        <f>'Estimating Form'!$D$20</f>
        <v>0</v>
      </c>
      <c r="B11" s="3" t="s">
        <v>40</v>
      </c>
      <c r="C11" s="7"/>
      <c r="D11" s="7"/>
      <c r="E11" s="7"/>
      <c r="F11" s="7"/>
      <c r="G11" s="7"/>
      <c r="J11">
        <f>(A8+A9/12)</f>
        <v>1.3333333333333333</v>
      </c>
      <c r="K11" s="4" t="s">
        <v>41</v>
      </c>
      <c r="M11" s="22" t="s">
        <v>42</v>
      </c>
      <c r="N11" s="13">
        <v>594</v>
      </c>
      <c r="O11" s="13">
        <v>14.93</v>
      </c>
      <c r="P11" s="13">
        <v>7.1269999999999998</v>
      </c>
      <c r="Q11" s="13">
        <v>12.893000000000001</v>
      </c>
      <c r="R11" s="13">
        <v>1.345</v>
      </c>
      <c r="S11" s="13">
        <v>24.251999999999999</v>
      </c>
      <c r="T11" s="13">
        <v>9.3125</v>
      </c>
      <c r="U11" s="13">
        <v>3</v>
      </c>
      <c r="V11" s="13">
        <v>5.5</v>
      </c>
      <c r="W11" s="13">
        <v>8.8125</v>
      </c>
      <c r="X11" s="13">
        <v>29</v>
      </c>
      <c r="Y11" s="13">
        <v>9.52</v>
      </c>
      <c r="Z11" s="13">
        <v>16.670000000000002</v>
      </c>
    </row>
    <row r="12" spans="1:26" ht="12.75">
      <c r="A12" s="11">
        <v>0</v>
      </c>
      <c r="B12" s="3" t="s">
        <v>43</v>
      </c>
      <c r="C12" s="7"/>
      <c r="D12" s="7"/>
      <c r="E12" s="7"/>
      <c r="F12" s="7"/>
      <c r="G12" s="7"/>
      <c r="M12" s="21" t="s">
        <v>44</v>
      </c>
      <c r="N12">
        <v>630</v>
      </c>
      <c r="O12">
        <v>23.114999999999998</v>
      </c>
      <c r="P12">
        <v>4.8</v>
      </c>
      <c r="Q12">
        <v>15.824999999999999</v>
      </c>
      <c r="R12">
        <v>1.8160000000000001</v>
      </c>
      <c r="S12">
        <v>16.332999999999998</v>
      </c>
      <c r="T12">
        <v>9.75</v>
      </c>
      <c r="U12">
        <v>3</v>
      </c>
      <c r="V12">
        <v>5.5</v>
      </c>
      <c r="W12">
        <v>9.1875</v>
      </c>
      <c r="X12">
        <v>43</v>
      </c>
      <c r="Y12">
        <v>6.95</v>
      </c>
      <c r="Z12">
        <v>10.9</v>
      </c>
    </row>
    <row r="13" spans="1:26" ht="12.75">
      <c r="A13" s="7"/>
      <c r="B13" s="7"/>
      <c r="C13" s="7"/>
      <c r="D13" s="7"/>
      <c r="E13" s="7"/>
      <c r="F13" s="7"/>
      <c r="G13" s="7"/>
      <c r="J13">
        <f>(J5*J6/(J7+(J8*J11/2)))*(J9/J10)^2</f>
        <v>806502.25691891857</v>
      </c>
      <c r="M13" s="21" t="s">
        <v>45</v>
      </c>
      <c r="N13">
        <v>630</v>
      </c>
      <c r="O13">
        <v>23.114999999999998</v>
      </c>
      <c r="P13">
        <v>6.59</v>
      </c>
      <c r="Q13">
        <v>20.786000000000001</v>
      </c>
      <c r="R13">
        <v>1.776</v>
      </c>
      <c r="S13">
        <v>22.422000000000001</v>
      </c>
      <c r="T13">
        <v>9.75</v>
      </c>
      <c r="U13">
        <v>3</v>
      </c>
      <c r="V13">
        <v>5.5</v>
      </c>
      <c r="W13">
        <v>9.1875</v>
      </c>
      <c r="X13">
        <v>43</v>
      </c>
      <c r="Y13">
        <v>6.95</v>
      </c>
      <c r="Z13">
        <v>10.9</v>
      </c>
    </row>
    <row r="14" spans="1:26" ht="12.75">
      <c r="A14" s="12">
        <f>(J13)</f>
        <v>806502.25691891857</v>
      </c>
      <c r="B14" s="3" t="s">
        <v>46</v>
      </c>
      <c r="C14" s="7"/>
      <c r="D14" s="7"/>
      <c r="E14" s="7"/>
      <c r="F14" s="7"/>
      <c r="G14" s="7"/>
      <c r="M14" s="21" t="s">
        <v>47</v>
      </c>
      <c r="N14">
        <v>630</v>
      </c>
      <c r="O14">
        <v>23.114999999999998</v>
      </c>
      <c r="P14">
        <v>8.5050000000000008</v>
      </c>
      <c r="Q14">
        <v>25.532</v>
      </c>
      <c r="R14">
        <v>1.7330000000000001</v>
      </c>
      <c r="S14">
        <v>28.94</v>
      </c>
      <c r="T14">
        <v>9.75</v>
      </c>
      <c r="U14">
        <v>3</v>
      </c>
      <c r="V14">
        <v>5.5</v>
      </c>
      <c r="W14">
        <v>9.1875</v>
      </c>
      <c r="X14">
        <v>43</v>
      </c>
      <c r="Y14">
        <v>6.95</v>
      </c>
      <c r="Z14">
        <v>10.9</v>
      </c>
    </row>
    <row r="15" spans="1:26" ht="12.75">
      <c r="A15" s="12">
        <f>(J19)</f>
        <v>0</v>
      </c>
      <c r="B15" s="3" t="s">
        <v>48</v>
      </c>
      <c r="C15" s="7"/>
      <c r="D15" s="7"/>
      <c r="E15" s="7"/>
      <c r="F15" s="7"/>
      <c r="G15" s="7"/>
      <c r="J15" s="4" t="s">
        <v>49</v>
      </c>
      <c r="M15" s="22" t="s">
        <v>50</v>
      </c>
      <c r="N15" s="13">
        <v>234</v>
      </c>
      <c r="O15" s="13">
        <v>23.114999999999998</v>
      </c>
      <c r="P15" s="13">
        <v>10.148999999999999</v>
      </c>
      <c r="Q15" s="13">
        <v>29.140999999999998</v>
      </c>
      <c r="R15" s="13">
        <v>1.694</v>
      </c>
      <c r="S15" s="13">
        <v>34.436</v>
      </c>
      <c r="T15" s="13">
        <v>9.75</v>
      </c>
      <c r="U15" s="13">
        <v>3</v>
      </c>
      <c r="V15" s="13">
        <v>5.5</v>
      </c>
      <c r="W15" s="13">
        <v>9.1875</v>
      </c>
      <c r="X15" s="13">
        <v>43</v>
      </c>
      <c r="Y15" s="13">
        <v>6.95</v>
      </c>
      <c r="Z15" s="13">
        <v>10.9</v>
      </c>
    </row>
    <row r="16" spans="1:26" ht="12.75">
      <c r="A16" s="11">
        <f>('Estimating Form'!$D$18)/12+K957</f>
        <v>1.7708333333333333</v>
      </c>
      <c r="B16" s="3" t="s">
        <v>957</v>
      </c>
      <c r="J16">
        <f>VLOOKUP(A7,M4:Z34,IF(A12=1,13,12)+1,FALSE)</f>
        <v>10.47</v>
      </c>
      <c r="K16" s="4" t="s">
        <v>51</v>
      </c>
      <c r="M16" s="21" t="s">
        <v>27</v>
      </c>
      <c r="N16">
        <v>630</v>
      </c>
      <c r="O16">
        <v>33.03</v>
      </c>
      <c r="P16">
        <v>5.9219999999999997</v>
      </c>
      <c r="Q16">
        <v>28.338999999999999</v>
      </c>
      <c r="R16">
        <v>2.1880000000000002</v>
      </c>
      <c r="S16">
        <v>20.149999999999999</v>
      </c>
      <c r="T16">
        <v>9.75</v>
      </c>
      <c r="U16">
        <v>3</v>
      </c>
      <c r="V16">
        <v>5.5</v>
      </c>
      <c r="W16">
        <v>9.1875</v>
      </c>
      <c r="X16">
        <v>43</v>
      </c>
      <c r="Y16">
        <v>3.41</v>
      </c>
      <c r="Z16">
        <v>5.34</v>
      </c>
    </row>
    <row r="17" spans="1:26">
      <c r="A17" s="8"/>
      <c r="B17" s="4"/>
      <c r="J17">
        <f>(A11)</f>
        <v>0</v>
      </c>
      <c r="K17" s="4" t="s">
        <v>52</v>
      </c>
      <c r="M17" s="21" t="s">
        <v>53</v>
      </c>
      <c r="N17">
        <v>630</v>
      </c>
      <c r="O17">
        <v>33.03</v>
      </c>
      <c r="P17">
        <v>9.2799999999999994</v>
      </c>
      <c r="Q17">
        <v>41.933</v>
      </c>
      <c r="R17">
        <v>2.1259999999999999</v>
      </c>
      <c r="S17">
        <v>31.579000000000001</v>
      </c>
      <c r="T17">
        <v>9.75</v>
      </c>
      <c r="U17">
        <v>3</v>
      </c>
      <c r="V17">
        <v>5.5</v>
      </c>
      <c r="W17">
        <v>9.1875</v>
      </c>
      <c r="X17">
        <v>43</v>
      </c>
      <c r="Y17">
        <v>3.41</v>
      </c>
      <c r="Z17">
        <v>5.34</v>
      </c>
    </row>
    <row r="18" spans="1:26">
      <c r="A18" s="8"/>
      <c r="B18" s="9"/>
      <c r="M18" s="21" t="s">
        <v>54</v>
      </c>
      <c r="N18">
        <v>630</v>
      </c>
      <c r="O18">
        <v>33.03</v>
      </c>
      <c r="P18">
        <v>11.898999999999999</v>
      </c>
      <c r="Q18">
        <v>51.284999999999997</v>
      </c>
      <c r="R18">
        <v>2.0760000000000001</v>
      </c>
      <c r="S18">
        <v>40.488999999999997</v>
      </c>
      <c r="T18">
        <v>9.75</v>
      </c>
      <c r="U18">
        <v>3</v>
      </c>
      <c r="V18">
        <v>5.5</v>
      </c>
      <c r="W18">
        <v>9.1875</v>
      </c>
      <c r="X18">
        <v>43</v>
      </c>
      <c r="Y18">
        <v>3.41</v>
      </c>
      <c r="Z18">
        <v>5.34</v>
      </c>
    </row>
    <row r="19" spans="1:26">
      <c r="A19" s="8"/>
      <c r="B19" s="9"/>
      <c r="J19">
        <f>(J16*(J11+4)*J17*10^-6)</f>
        <v>0</v>
      </c>
      <c r="M19" s="22" t="s">
        <v>55</v>
      </c>
      <c r="N19" s="13">
        <v>630</v>
      </c>
      <c r="O19" s="13">
        <v>33.03</v>
      </c>
      <c r="P19" s="13">
        <v>14.196</v>
      </c>
      <c r="Q19" s="13">
        <v>58.588999999999999</v>
      </c>
      <c r="R19" s="13">
        <v>2.032</v>
      </c>
      <c r="S19" s="13">
        <v>48.304000000000002</v>
      </c>
      <c r="T19" s="13">
        <v>9.75</v>
      </c>
      <c r="U19" s="13">
        <v>3</v>
      </c>
      <c r="V19" s="13">
        <v>5.5</v>
      </c>
      <c r="W19" s="13">
        <v>9.1875</v>
      </c>
      <c r="X19" s="13">
        <v>43</v>
      </c>
      <c r="Y19" s="13">
        <v>3.41</v>
      </c>
      <c r="Z19" s="13">
        <v>5.34</v>
      </c>
    </row>
    <row r="20" spans="1:26">
      <c r="A20" s="8"/>
      <c r="M20" s="21" t="s">
        <v>56</v>
      </c>
      <c r="N20">
        <v>630</v>
      </c>
      <c r="O20">
        <v>44.031999999999996</v>
      </c>
      <c r="P20">
        <v>8.109</v>
      </c>
      <c r="Q20">
        <v>51.593000000000004</v>
      </c>
      <c r="R20">
        <v>2.5219999999999998</v>
      </c>
      <c r="S20">
        <v>27.591999999999999</v>
      </c>
      <c r="T20">
        <v>10.9375</v>
      </c>
      <c r="U20">
        <v>2.5</v>
      </c>
      <c r="V20">
        <v>6</v>
      </c>
      <c r="W20">
        <v>9.9375</v>
      </c>
      <c r="X20">
        <v>61</v>
      </c>
      <c r="Y20">
        <v>3</v>
      </c>
      <c r="Z20">
        <v>4.29</v>
      </c>
    </row>
    <row r="21" spans="1:26">
      <c r="A21" s="8"/>
      <c r="B21" s="9"/>
      <c r="M21" s="21" t="s">
        <v>57</v>
      </c>
      <c r="N21">
        <v>630</v>
      </c>
      <c r="O21">
        <v>44.031999999999996</v>
      </c>
      <c r="P21">
        <v>9.4350000000000005</v>
      </c>
      <c r="Q21">
        <v>59.033999999999999</v>
      </c>
      <c r="R21">
        <v>2.5009999999999999</v>
      </c>
      <c r="S21">
        <v>32.103999999999999</v>
      </c>
      <c r="T21">
        <v>10.9375</v>
      </c>
      <c r="U21">
        <v>2.5</v>
      </c>
      <c r="V21">
        <v>6</v>
      </c>
      <c r="W21">
        <v>9.9375</v>
      </c>
      <c r="X21">
        <v>61</v>
      </c>
      <c r="Y21">
        <v>3</v>
      </c>
      <c r="Z21">
        <v>4.29</v>
      </c>
    </row>
    <row r="22" spans="1:26" ht="15.75" customHeight="1">
      <c r="A22" s="37"/>
      <c r="B22" s="97"/>
      <c r="C22" s="515" t="s">
        <v>93</v>
      </c>
      <c r="D22" s="515"/>
      <c r="E22" s="40">
        <f>(B23-A11)/(O7)-(0.39*A8)</f>
        <v>0.96238335738335734</v>
      </c>
      <c r="M22" s="23" t="s">
        <v>59</v>
      </c>
      <c r="N22">
        <v>630</v>
      </c>
      <c r="O22">
        <v>44.031999999999996</v>
      </c>
      <c r="P22">
        <v>14.49</v>
      </c>
      <c r="Q22">
        <v>84.834000000000003</v>
      </c>
      <c r="R22">
        <v>2.42</v>
      </c>
      <c r="S22">
        <v>49.305</v>
      </c>
      <c r="T22">
        <v>10.9375</v>
      </c>
      <c r="U22">
        <v>2.5</v>
      </c>
      <c r="V22">
        <v>6</v>
      </c>
      <c r="W22">
        <v>9.9375</v>
      </c>
      <c r="X22">
        <v>61</v>
      </c>
      <c r="Y22">
        <v>3</v>
      </c>
      <c r="Z22">
        <v>4.29</v>
      </c>
    </row>
    <row r="23" spans="1:26" ht="15.75" customHeight="1">
      <c r="A23" s="37" t="s">
        <v>98</v>
      </c>
      <c r="B23" s="41">
        <f>A10+B27</f>
        <v>17.463958333333334</v>
      </c>
      <c r="C23" s="516" t="s">
        <v>99</v>
      </c>
      <c r="D23" s="516"/>
      <c r="E23" s="42">
        <f>((B23/(O7))*1.1)</f>
        <v>1.6306216931216932</v>
      </c>
      <c r="M23" s="24" t="s">
        <v>58</v>
      </c>
      <c r="N23" s="13">
        <v>630</v>
      </c>
      <c r="O23" s="13">
        <v>44.031999999999996</v>
      </c>
      <c r="P23" s="13">
        <v>19.181000000000001</v>
      </c>
      <c r="Q23" s="13">
        <v>105.14</v>
      </c>
      <c r="R23" s="13">
        <v>2.3410000000000002</v>
      </c>
      <c r="S23" s="13">
        <v>65.268000000000001</v>
      </c>
      <c r="T23" s="13">
        <v>10.9375</v>
      </c>
      <c r="U23" s="13">
        <v>2.5</v>
      </c>
      <c r="V23" s="13">
        <v>6</v>
      </c>
      <c r="W23" s="13">
        <v>9.9375</v>
      </c>
      <c r="X23" s="13">
        <v>61</v>
      </c>
      <c r="Y23" s="13">
        <v>3</v>
      </c>
      <c r="Z23" s="13">
        <v>4.29</v>
      </c>
    </row>
    <row r="24" spans="1:26" ht="12" customHeight="1">
      <c r="A24" s="37"/>
      <c r="B24" s="38"/>
      <c r="C24" s="517" t="s">
        <v>106</v>
      </c>
      <c r="D24" s="514" t="str">
        <f>IF(E22&gt;90,"Good!","Too Low, increase GLOPU or decrease jack diameter, if above 50 use ASK ENGINEERING")</f>
        <v>Too Low, increase GLOPU or decrease jack diameter, if above 50 use ASK ENGINEERING</v>
      </c>
      <c r="E24" s="514"/>
      <c r="F24" s="10"/>
      <c r="M24" s="21" t="s">
        <v>60</v>
      </c>
      <c r="N24">
        <v>630</v>
      </c>
      <c r="O24">
        <v>56.578000000000003</v>
      </c>
      <c r="P24">
        <v>9.2829999999999995</v>
      </c>
      <c r="Q24">
        <v>76.736999999999995</v>
      </c>
      <c r="R24">
        <v>2.875</v>
      </c>
      <c r="S24">
        <v>31.588999999999999</v>
      </c>
      <c r="T24">
        <v>10.9375</v>
      </c>
      <c r="U24">
        <v>2.5</v>
      </c>
      <c r="V24">
        <v>6</v>
      </c>
      <c r="W24">
        <v>9.9375</v>
      </c>
      <c r="X24">
        <v>61</v>
      </c>
      <c r="Y24">
        <v>1.82</v>
      </c>
      <c r="Z24">
        <v>2.6</v>
      </c>
    </row>
    <row r="25" spans="1:26" ht="12.75" customHeight="1" thickBot="1">
      <c r="A25" s="37"/>
      <c r="B25" s="44"/>
      <c r="C25" s="518"/>
      <c r="D25" s="519"/>
      <c r="E25" s="519"/>
      <c r="M25" s="21" t="s">
        <v>61</v>
      </c>
      <c r="N25">
        <v>630</v>
      </c>
      <c r="O25">
        <v>56.578000000000003</v>
      </c>
      <c r="P25">
        <v>10.734999999999999</v>
      </c>
      <c r="Q25">
        <v>87.494</v>
      </c>
      <c r="R25">
        <v>2.855</v>
      </c>
      <c r="S25">
        <v>36.527999999999999</v>
      </c>
      <c r="T25">
        <v>10.9375</v>
      </c>
      <c r="U25">
        <v>2.5</v>
      </c>
      <c r="V25">
        <v>6</v>
      </c>
      <c r="W25">
        <v>9.9375</v>
      </c>
      <c r="X25">
        <v>61</v>
      </c>
      <c r="Y25">
        <v>1.82</v>
      </c>
      <c r="Z25">
        <v>2.6</v>
      </c>
    </row>
    <row r="26" spans="1:26" ht="12" customHeight="1">
      <c r="A26" s="37"/>
      <c r="B26" s="39"/>
      <c r="C26" s="512" t="s">
        <v>118</v>
      </c>
      <c r="D26" s="514" t="str">
        <f>IF(E23&gt;500,"Too High, reduce GLOPU or increase plunger diameter","Good!")</f>
        <v>Good!</v>
      </c>
      <c r="E26" s="514"/>
      <c r="M26" s="24" t="s">
        <v>70</v>
      </c>
      <c r="N26" s="13">
        <v>630</v>
      </c>
      <c r="O26" s="13">
        <v>56.578000000000003</v>
      </c>
      <c r="P26" s="13">
        <v>15.885999999999999</v>
      </c>
      <c r="Q26" s="13">
        <v>122.965</v>
      </c>
      <c r="R26" s="13">
        <v>2.782</v>
      </c>
      <c r="S26" s="13">
        <v>54.055</v>
      </c>
      <c r="T26" s="13">
        <v>10.9375</v>
      </c>
      <c r="U26" s="13">
        <v>2.5</v>
      </c>
      <c r="V26" s="13">
        <v>6</v>
      </c>
      <c r="W26" s="13">
        <v>9.9375</v>
      </c>
      <c r="X26" s="13">
        <v>61</v>
      </c>
      <c r="Y26" s="13">
        <v>1.82</v>
      </c>
      <c r="Z26" s="13">
        <v>2.6</v>
      </c>
    </row>
    <row r="27" spans="1:26" ht="12" customHeight="1">
      <c r="A27" s="46" t="s">
        <v>122</v>
      </c>
      <c r="B27" s="96">
        <f>S7*A16</f>
        <v>17.463958333333334</v>
      </c>
      <c r="C27" s="513"/>
      <c r="D27" s="514"/>
      <c r="E27" s="514"/>
      <c r="M27" s="21" t="s">
        <v>62</v>
      </c>
      <c r="N27">
        <v>537</v>
      </c>
      <c r="O27">
        <v>70.695999999999998</v>
      </c>
      <c r="P27">
        <v>12.27</v>
      </c>
      <c r="Q27">
        <v>126.072</v>
      </c>
      <c r="R27">
        <v>3.2050000000000001</v>
      </c>
      <c r="S27">
        <v>41.75</v>
      </c>
      <c r="T27">
        <v>14.375</v>
      </c>
      <c r="U27">
        <v>2.5</v>
      </c>
      <c r="V27">
        <v>6</v>
      </c>
      <c r="W27">
        <v>12.9375</v>
      </c>
      <c r="X27">
        <v>80</v>
      </c>
      <c r="Y27">
        <v>1.66</v>
      </c>
      <c r="Z27">
        <v>2.62</v>
      </c>
    </row>
    <row r="28" spans="1:26">
      <c r="E28" s="10"/>
      <c r="F28" s="10"/>
      <c r="M28" s="22" t="s">
        <v>63</v>
      </c>
      <c r="N28" s="13">
        <v>537</v>
      </c>
      <c r="O28" s="13">
        <v>70.695999999999998</v>
      </c>
      <c r="P28" s="13">
        <v>18.847000000000001</v>
      </c>
      <c r="Q28" s="13">
        <v>183.79400000000001</v>
      </c>
      <c r="R28" s="13">
        <v>3.1230000000000002</v>
      </c>
      <c r="S28" s="13">
        <v>64.132000000000005</v>
      </c>
      <c r="T28" s="13">
        <v>14.375</v>
      </c>
      <c r="U28" s="13">
        <v>2.5</v>
      </c>
      <c r="V28" s="13">
        <v>6</v>
      </c>
      <c r="W28" s="13">
        <v>12.9375</v>
      </c>
      <c r="X28" s="13">
        <v>80</v>
      </c>
      <c r="Y28" s="13">
        <v>1.66</v>
      </c>
      <c r="Z28" s="13">
        <v>2.62</v>
      </c>
    </row>
    <row r="29" spans="1:26">
      <c r="A29" s="8"/>
      <c r="B29" s="9"/>
      <c r="M29" s="21" t="s">
        <v>64</v>
      </c>
      <c r="N29">
        <v>537</v>
      </c>
      <c r="O29">
        <v>88.456000000000003</v>
      </c>
      <c r="P29">
        <v>13.656000000000001</v>
      </c>
      <c r="Q29">
        <v>177.40799999999999</v>
      </c>
      <c r="R29">
        <v>3.6040000000000001</v>
      </c>
      <c r="S29">
        <v>46.466999999999999</v>
      </c>
      <c r="T29">
        <v>14.375</v>
      </c>
      <c r="U29">
        <v>2.5</v>
      </c>
      <c r="V29">
        <v>6</v>
      </c>
      <c r="W29">
        <v>13.3125</v>
      </c>
      <c r="X29">
        <v>80</v>
      </c>
      <c r="Y29">
        <v>1.06</v>
      </c>
      <c r="Z29">
        <v>1.67</v>
      </c>
    </row>
    <row r="30" spans="1:26">
      <c r="B30" s="9"/>
      <c r="M30" s="21" t="s">
        <v>65</v>
      </c>
      <c r="N30">
        <v>537</v>
      </c>
      <c r="O30">
        <v>88.456000000000003</v>
      </c>
      <c r="P30">
        <v>16.48</v>
      </c>
      <c r="Q30">
        <v>210.39400000000001</v>
      </c>
      <c r="R30">
        <v>3.573</v>
      </c>
      <c r="S30">
        <v>56.076999999999998</v>
      </c>
      <c r="T30">
        <v>14.375</v>
      </c>
      <c r="U30">
        <v>2.5</v>
      </c>
      <c r="V30">
        <v>6</v>
      </c>
      <c r="W30">
        <v>13.3125</v>
      </c>
      <c r="X30">
        <v>80</v>
      </c>
      <c r="Y30">
        <v>1.06</v>
      </c>
      <c r="Z30">
        <v>1.67</v>
      </c>
    </row>
    <row r="31" spans="1:26">
      <c r="B31" s="9"/>
      <c r="M31" s="22" t="s">
        <v>66</v>
      </c>
      <c r="N31" s="13">
        <v>537</v>
      </c>
      <c r="O31" s="13">
        <v>88.456000000000003</v>
      </c>
      <c r="P31" s="13">
        <v>20.350999999999999</v>
      </c>
      <c r="Q31" s="13">
        <v>253.547</v>
      </c>
      <c r="R31" s="13">
        <v>3.53</v>
      </c>
      <c r="S31" s="13">
        <v>69.248999999999995</v>
      </c>
      <c r="T31" s="13">
        <v>14.375</v>
      </c>
      <c r="U31" s="13">
        <v>2.5</v>
      </c>
      <c r="V31" s="13">
        <v>6</v>
      </c>
      <c r="W31" s="13">
        <v>13.3125</v>
      </c>
      <c r="X31" s="13">
        <v>80</v>
      </c>
      <c r="Y31" s="13">
        <v>1.06</v>
      </c>
      <c r="Z31" s="13">
        <v>1.67</v>
      </c>
    </row>
    <row r="32" spans="1:26">
      <c r="M32" s="21" t="s">
        <v>67</v>
      </c>
      <c r="N32">
        <v>449</v>
      </c>
      <c r="O32">
        <v>124.937</v>
      </c>
      <c r="P32">
        <v>16.503</v>
      </c>
      <c r="Q32">
        <v>306.48500000000001</v>
      </c>
      <c r="R32">
        <v>4.3090000000000002</v>
      </c>
      <c r="S32">
        <v>56.155999999999999</v>
      </c>
      <c r="T32">
        <v>0</v>
      </c>
      <c r="U32">
        <v>2.5</v>
      </c>
      <c r="V32">
        <v>6</v>
      </c>
      <c r="W32">
        <v>15.3125</v>
      </c>
      <c r="X32">
        <v>125</v>
      </c>
      <c r="Y32">
        <v>0.83899999999999997</v>
      </c>
      <c r="Z32">
        <v>0</v>
      </c>
    </row>
    <row r="33" spans="1:26">
      <c r="M33" s="22" t="s">
        <v>68</v>
      </c>
      <c r="N33" s="13">
        <v>449</v>
      </c>
      <c r="O33" s="13">
        <v>124.937</v>
      </c>
      <c r="P33" s="13">
        <v>18.78</v>
      </c>
      <c r="Q33" s="13">
        <v>345.36099999999999</v>
      </c>
      <c r="R33" s="13">
        <v>4.2880000000000003</v>
      </c>
      <c r="S33" s="13">
        <v>63.902999999999999</v>
      </c>
      <c r="T33" s="13">
        <v>0</v>
      </c>
      <c r="U33" s="13">
        <v>2.5</v>
      </c>
      <c r="V33" s="13">
        <v>6</v>
      </c>
      <c r="W33" s="13">
        <v>15.3125</v>
      </c>
      <c r="X33" s="13">
        <v>125</v>
      </c>
      <c r="Y33" s="13">
        <v>0.83899999999999997</v>
      </c>
      <c r="Z33" s="13">
        <v>0</v>
      </c>
    </row>
    <row r="34" spans="1:26">
      <c r="M34" s="22" t="s">
        <v>69</v>
      </c>
      <c r="N34" s="14">
        <v>449</v>
      </c>
      <c r="O34" s="14">
        <v>194.51900000000001</v>
      </c>
      <c r="P34" s="14">
        <v>25.079000000000001</v>
      </c>
      <c r="Q34" s="14">
        <v>726.36</v>
      </c>
      <c r="R34" s="14">
        <v>5.3819999999999997</v>
      </c>
      <c r="S34" s="14">
        <v>85.337000000000003</v>
      </c>
      <c r="T34" s="14">
        <v>0</v>
      </c>
      <c r="U34" s="14">
        <v>6</v>
      </c>
      <c r="V34" s="14">
        <v>6</v>
      </c>
      <c r="W34" s="14">
        <v>15.375</v>
      </c>
      <c r="X34" s="14">
        <v>192</v>
      </c>
      <c r="Y34" s="14">
        <v>0.54300000000000004</v>
      </c>
      <c r="Z34" s="14">
        <v>0</v>
      </c>
    </row>
    <row r="35" spans="1:26">
      <c r="M35" s="4"/>
    </row>
    <row r="37" spans="1:26" ht="12.75">
      <c r="A37" s="3"/>
      <c r="B37" s="15"/>
      <c r="C37" s="16"/>
      <c r="D37" s="16"/>
      <c r="E37" s="16"/>
      <c r="F37" s="16"/>
      <c r="G37" s="20"/>
      <c r="H37" s="4" t="s">
        <v>1</v>
      </c>
      <c r="J37" s="4" t="s">
        <v>2</v>
      </c>
      <c r="M37" s="4" t="s">
        <v>3</v>
      </c>
    </row>
    <row r="38" spans="1:26" ht="12.75">
      <c r="A38" s="1"/>
      <c r="B38" s="1"/>
      <c r="C38" s="1"/>
      <c r="D38" s="1"/>
      <c r="E38" s="1"/>
      <c r="F38" s="1"/>
      <c r="G38" s="1"/>
      <c r="J38" s="5">
        <f>2.85*10^8</f>
        <v>285000000</v>
      </c>
      <c r="K38" s="4" t="s">
        <v>4</v>
      </c>
      <c r="N38" s="4" t="s">
        <v>5</v>
      </c>
      <c r="O38" s="6" t="s">
        <v>6</v>
      </c>
      <c r="P38" s="6" t="s">
        <v>7</v>
      </c>
      <c r="Q38" s="6" t="s">
        <v>8</v>
      </c>
      <c r="R38" s="6" t="s">
        <v>9</v>
      </c>
      <c r="S38" s="6" t="s">
        <v>10</v>
      </c>
      <c r="T38" s="6" t="s">
        <v>11</v>
      </c>
      <c r="U38" s="6" t="s">
        <v>11</v>
      </c>
      <c r="V38" s="6" t="s">
        <v>11</v>
      </c>
      <c r="W38" s="6" t="s">
        <v>11</v>
      </c>
      <c r="X38" s="6" t="s">
        <v>12</v>
      </c>
      <c r="Y38" s="520" t="s">
        <v>13</v>
      </c>
      <c r="Z38" s="520"/>
    </row>
    <row r="39" spans="1:26" ht="12.75">
      <c r="A39" s="1"/>
      <c r="B39" s="1"/>
      <c r="C39" s="1"/>
      <c r="D39" s="1"/>
      <c r="E39" s="1"/>
      <c r="F39" s="1"/>
      <c r="G39" s="1"/>
      <c r="J39">
        <f>VLOOKUP(A40,M37:Z67,4,FALSE)</f>
        <v>5.94</v>
      </c>
      <c r="K39" s="4" t="s">
        <v>14</v>
      </c>
      <c r="M39" s="4" t="s">
        <v>15</v>
      </c>
      <c r="N39" s="4" t="s">
        <v>16</v>
      </c>
      <c r="O39" s="6" t="s">
        <v>17</v>
      </c>
      <c r="P39" s="6" t="s">
        <v>17</v>
      </c>
      <c r="Q39" s="6" t="s">
        <v>18</v>
      </c>
      <c r="R39" s="6" t="s">
        <v>19</v>
      </c>
      <c r="S39" s="6" t="s">
        <v>20</v>
      </c>
      <c r="T39" s="6" t="s">
        <v>21</v>
      </c>
      <c r="U39" s="6" t="s">
        <v>22</v>
      </c>
      <c r="V39" s="6" t="s">
        <v>23</v>
      </c>
      <c r="W39" s="6" t="s">
        <v>24</v>
      </c>
      <c r="Y39" s="6" t="s">
        <v>25</v>
      </c>
      <c r="Z39" s="4" t="s">
        <v>26</v>
      </c>
    </row>
    <row r="40" spans="1:26" ht="12.75">
      <c r="A40" s="11" t="s">
        <v>33</v>
      </c>
      <c r="B40" s="3" t="s">
        <v>28</v>
      </c>
      <c r="C40" s="7"/>
      <c r="D40" s="7"/>
      <c r="E40" s="7"/>
      <c r="F40" s="7"/>
      <c r="G40" s="3" t="s">
        <v>1</v>
      </c>
      <c r="J40">
        <f>(A43)</f>
        <v>0</v>
      </c>
      <c r="K40" s="4" t="s">
        <v>29</v>
      </c>
      <c r="M40" s="21" t="s">
        <v>30</v>
      </c>
      <c r="N40">
        <v>492</v>
      </c>
      <c r="O40">
        <v>11.781000000000001</v>
      </c>
      <c r="P40">
        <v>2.8980000000000001</v>
      </c>
      <c r="Q40">
        <v>4.766</v>
      </c>
      <c r="R40">
        <v>1.282</v>
      </c>
      <c r="S40">
        <v>9.8620000000000001</v>
      </c>
      <c r="T40">
        <v>0</v>
      </c>
      <c r="U40">
        <v>3</v>
      </c>
      <c r="V40">
        <v>6.75</v>
      </c>
      <c r="W40">
        <v>9.375</v>
      </c>
      <c r="X40">
        <v>22</v>
      </c>
      <c r="Y40">
        <v>10.47</v>
      </c>
      <c r="Z40">
        <v>0</v>
      </c>
    </row>
    <row r="41" spans="1:26" ht="12.75">
      <c r="A41" s="319">
        <f>('Estimating Form'!$D$18)/12+K956</f>
        <v>1.3333333333333333</v>
      </c>
      <c r="B41" s="3" t="s">
        <v>31</v>
      </c>
      <c r="C41" s="7"/>
      <c r="D41" s="7"/>
      <c r="E41" s="7"/>
      <c r="F41" s="7"/>
      <c r="G41" s="7"/>
      <c r="J41">
        <f>VLOOKUP(A40,M37:Z68,7,FALSE)</f>
        <v>20.213999999999999</v>
      </c>
      <c r="K41" s="4" t="s">
        <v>32</v>
      </c>
      <c r="M41" s="22" t="s">
        <v>33</v>
      </c>
      <c r="N41" s="13">
        <v>492</v>
      </c>
      <c r="O41" s="13">
        <v>11.781000000000001</v>
      </c>
      <c r="P41" s="13">
        <v>5.94</v>
      </c>
      <c r="Q41" s="13">
        <v>8.33</v>
      </c>
      <c r="R41" s="13">
        <v>1.1839999999999999</v>
      </c>
      <c r="S41" s="13">
        <v>20.213999999999999</v>
      </c>
      <c r="T41" s="13">
        <v>0</v>
      </c>
      <c r="U41" s="13">
        <v>3</v>
      </c>
      <c r="V41" s="13">
        <v>6.75</v>
      </c>
      <c r="W41" s="13">
        <v>9.375</v>
      </c>
      <c r="X41" s="13">
        <v>22</v>
      </c>
      <c r="Y41" s="13">
        <v>10.47</v>
      </c>
      <c r="Z41" s="13">
        <v>0</v>
      </c>
    </row>
    <row r="42" spans="1:26" ht="12.75">
      <c r="A42" s="11">
        <v>0</v>
      </c>
      <c r="B42" s="3" t="s">
        <v>34</v>
      </c>
      <c r="C42" s="7"/>
      <c r="D42" s="7"/>
      <c r="E42" s="7"/>
      <c r="F42" s="7"/>
      <c r="G42" s="7"/>
      <c r="J42">
        <f>VLOOKUP(A40,M37:Z67,6,FALSE)</f>
        <v>1.1839999999999999</v>
      </c>
      <c r="K42" s="4" t="s">
        <v>35</v>
      </c>
      <c r="M42" s="21" t="s">
        <v>36</v>
      </c>
      <c r="N42">
        <v>594</v>
      </c>
      <c r="O42">
        <v>14.93</v>
      </c>
      <c r="P42">
        <v>3.3490000000000002</v>
      </c>
      <c r="Q42">
        <v>7.0650000000000004</v>
      </c>
      <c r="R42">
        <v>1.452</v>
      </c>
      <c r="S42">
        <v>11.396000000000001</v>
      </c>
      <c r="T42">
        <v>9.3125</v>
      </c>
      <c r="U42">
        <v>3</v>
      </c>
      <c r="V42">
        <v>5.5</v>
      </c>
      <c r="W42">
        <v>8.8125</v>
      </c>
      <c r="X42">
        <v>29</v>
      </c>
      <c r="Y42">
        <v>9.52</v>
      </c>
      <c r="Z42">
        <v>16.670000000000002</v>
      </c>
    </row>
    <row r="43" spans="1:26" ht="12.75">
      <c r="A43" s="11">
        <f>'Estimating Form'!$G$22</f>
        <v>0</v>
      </c>
      <c r="B43" s="3" t="s">
        <v>37</v>
      </c>
      <c r="C43" s="7"/>
      <c r="D43" s="7"/>
      <c r="E43" s="7"/>
      <c r="F43" s="7"/>
      <c r="G43" s="7"/>
      <c r="J43">
        <f>(A41*12+A42)</f>
        <v>16</v>
      </c>
      <c r="K43" s="4" t="s">
        <v>38</v>
      </c>
      <c r="M43" s="21" t="s">
        <v>39</v>
      </c>
      <c r="N43">
        <v>594</v>
      </c>
      <c r="O43">
        <v>14.93</v>
      </c>
      <c r="P43">
        <v>5.5170000000000003</v>
      </c>
      <c r="Q43">
        <v>10.686999999999999</v>
      </c>
      <c r="R43">
        <v>1.3919999999999999</v>
      </c>
      <c r="S43">
        <v>18.771999999999998</v>
      </c>
      <c r="T43">
        <v>9.3125</v>
      </c>
      <c r="U43">
        <v>3</v>
      </c>
      <c r="V43">
        <v>5.5</v>
      </c>
      <c r="W43">
        <v>8.8125</v>
      </c>
      <c r="X43">
        <v>29</v>
      </c>
      <c r="Y43">
        <v>9.52</v>
      </c>
      <c r="Z43">
        <v>16.670000000000002</v>
      </c>
    </row>
    <row r="44" spans="1:26" ht="12.75">
      <c r="A44" s="11">
        <f>'Estimating Form'!$D$20</f>
        <v>0</v>
      </c>
      <c r="B44" s="3" t="s">
        <v>40</v>
      </c>
      <c r="C44" s="7"/>
      <c r="D44" s="7"/>
      <c r="E44" s="7"/>
      <c r="F44" s="7"/>
      <c r="G44" s="7"/>
      <c r="J44">
        <f>(A41+A42/12)</f>
        <v>1.3333333333333333</v>
      </c>
      <c r="K44" s="4" t="s">
        <v>41</v>
      </c>
      <c r="M44" s="22" t="s">
        <v>42</v>
      </c>
      <c r="N44" s="13">
        <v>594</v>
      </c>
      <c r="O44" s="13">
        <v>14.93</v>
      </c>
      <c r="P44" s="13">
        <v>7.1269999999999998</v>
      </c>
      <c r="Q44" s="13">
        <v>12.893000000000001</v>
      </c>
      <c r="R44" s="13">
        <v>1.345</v>
      </c>
      <c r="S44" s="13">
        <v>24.251999999999999</v>
      </c>
      <c r="T44" s="13">
        <v>9.3125</v>
      </c>
      <c r="U44" s="13">
        <v>3</v>
      </c>
      <c r="V44" s="13">
        <v>5.5</v>
      </c>
      <c r="W44" s="13">
        <v>8.8125</v>
      </c>
      <c r="X44" s="13">
        <v>29</v>
      </c>
      <c r="Y44" s="13">
        <v>9.52</v>
      </c>
      <c r="Z44" s="13">
        <v>16.670000000000002</v>
      </c>
    </row>
    <row r="45" spans="1:26" ht="12.75">
      <c r="A45" s="11">
        <v>0</v>
      </c>
      <c r="B45" s="3" t="s">
        <v>43</v>
      </c>
      <c r="C45" s="7"/>
      <c r="D45" s="7"/>
      <c r="E45" s="7"/>
      <c r="F45" s="7"/>
      <c r="G45" s="7"/>
      <c r="M45" s="21" t="s">
        <v>44</v>
      </c>
      <c r="N45">
        <v>630</v>
      </c>
      <c r="O45">
        <v>23.114999999999998</v>
      </c>
      <c r="P45">
        <v>4.8</v>
      </c>
      <c r="Q45">
        <v>15.824999999999999</v>
      </c>
      <c r="R45">
        <v>1.8160000000000001</v>
      </c>
      <c r="S45">
        <v>16.332999999999998</v>
      </c>
      <c r="T45">
        <v>9.75</v>
      </c>
      <c r="U45">
        <v>3</v>
      </c>
      <c r="V45">
        <v>5.5</v>
      </c>
      <c r="W45">
        <v>9.1875</v>
      </c>
      <c r="X45">
        <v>43</v>
      </c>
      <c r="Y45">
        <v>6.95</v>
      </c>
      <c r="Z45">
        <v>10.9</v>
      </c>
    </row>
    <row r="46" spans="1:26" ht="12.75">
      <c r="A46" s="7"/>
      <c r="B46" s="7"/>
      <c r="C46" s="7"/>
      <c r="D46" s="7"/>
      <c r="E46" s="7"/>
      <c r="F46" s="7"/>
      <c r="G46" s="7"/>
      <c r="J46">
        <f>(J38*J39/(J40+(J41*J44/2)))*(J42/J43)^2</f>
        <v>687913.35707925202</v>
      </c>
      <c r="M46" s="21" t="s">
        <v>45</v>
      </c>
      <c r="N46">
        <v>630</v>
      </c>
      <c r="O46">
        <v>23.114999999999998</v>
      </c>
      <c r="P46">
        <v>6.59</v>
      </c>
      <c r="Q46">
        <v>20.786000000000001</v>
      </c>
      <c r="R46">
        <v>1.776</v>
      </c>
      <c r="S46">
        <v>22.422000000000001</v>
      </c>
      <c r="T46">
        <v>9.75</v>
      </c>
      <c r="U46">
        <v>3</v>
      </c>
      <c r="V46">
        <v>5.5</v>
      </c>
      <c r="W46">
        <v>9.1875</v>
      </c>
      <c r="X46">
        <v>43</v>
      </c>
      <c r="Y46">
        <v>6.95</v>
      </c>
      <c r="Z46">
        <v>10.9</v>
      </c>
    </row>
    <row r="47" spans="1:26" ht="12.75">
      <c r="A47" s="12">
        <f>(J46)</f>
        <v>687913.35707925202</v>
      </c>
      <c r="B47" s="3" t="s">
        <v>46</v>
      </c>
      <c r="C47" s="7"/>
      <c r="D47" s="7"/>
      <c r="E47" s="7"/>
      <c r="F47" s="7"/>
      <c r="G47" s="7"/>
      <c r="M47" s="21" t="s">
        <v>47</v>
      </c>
      <c r="N47">
        <v>630</v>
      </c>
      <c r="O47">
        <v>23.114999999999998</v>
      </c>
      <c r="P47">
        <v>8.5050000000000008</v>
      </c>
      <c r="Q47">
        <v>25.532</v>
      </c>
      <c r="R47">
        <v>1.7330000000000001</v>
      </c>
      <c r="S47">
        <v>28.94</v>
      </c>
      <c r="T47">
        <v>9.75</v>
      </c>
      <c r="U47">
        <v>3</v>
      </c>
      <c r="V47">
        <v>5.5</v>
      </c>
      <c r="W47">
        <v>9.1875</v>
      </c>
      <c r="X47">
        <v>43</v>
      </c>
      <c r="Y47">
        <v>6.95</v>
      </c>
      <c r="Z47">
        <v>10.9</v>
      </c>
    </row>
    <row r="48" spans="1:26" ht="12.75">
      <c r="A48" s="12">
        <f>(J52)</f>
        <v>0</v>
      </c>
      <c r="B48" s="3" t="s">
        <v>48</v>
      </c>
      <c r="C48" s="7"/>
      <c r="D48" s="7"/>
      <c r="E48" s="7"/>
      <c r="F48" s="7"/>
      <c r="G48" s="7"/>
      <c r="J48" s="4" t="s">
        <v>49</v>
      </c>
      <c r="M48" s="22" t="s">
        <v>50</v>
      </c>
      <c r="N48" s="13">
        <v>234</v>
      </c>
      <c r="O48" s="13">
        <v>23.114999999999998</v>
      </c>
      <c r="P48" s="13">
        <v>10.148999999999999</v>
      </c>
      <c r="Q48" s="13">
        <v>29.140999999999998</v>
      </c>
      <c r="R48" s="13">
        <v>1.694</v>
      </c>
      <c r="S48" s="13">
        <v>34.436</v>
      </c>
      <c r="T48" s="13">
        <v>9.75</v>
      </c>
      <c r="U48" s="13">
        <v>3</v>
      </c>
      <c r="V48" s="13">
        <v>5.5</v>
      </c>
      <c r="W48" s="13">
        <v>9.1875</v>
      </c>
      <c r="X48" s="13">
        <v>43</v>
      </c>
      <c r="Y48" s="13">
        <v>6.95</v>
      </c>
      <c r="Z48" s="13">
        <v>10.9</v>
      </c>
    </row>
    <row r="49" spans="1:26" ht="12.75">
      <c r="A49" s="11">
        <f>('Estimating Form'!$D$18)/12+K957</f>
        <v>1.7708333333333333</v>
      </c>
      <c r="B49" s="3" t="s">
        <v>957</v>
      </c>
      <c r="J49">
        <f>VLOOKUP(A40,M37:Z67,IF(A45=1,13,12)+1,FALSE)</f>
        <v>10.47</v>
      </c>
      <c r="K49" s="4" t="s">
        <v>51</v>
      </c>
      <c r="M49" s="21" t="s">
        <v>27</v>
      </c>
      <c r="N49">
        <v>630</v>
      </c>
      <c r="O49">
        <v>33.03</v>
      </c>
      <c r="P49">
        <v>5.9219999999999997</v>
      </c>
      <c r="Q49">
        <v>28.338999999999999</v>
      </c>
      <c r="R49">
        <v>2.1880000000000002</v>
      </c>
      <c r="S49">
        <v>20.149999999999999</v>
      </c>
      <c r="T49">
        <v>9.75</v>
      </c>
      <c r="U49">
        <v>3</v>
      </c>
      <c r="V49">
        <v>5.5</v>
      </c>
      <c r="W49">
        <v>9.1875</v>
      </c>
      <c r="X49">
        <v>43</v>
      </c>
      <c r="Y49">
        <v>3.41</v>
      </c>
      <c r="Z49">
        <v>5.34</v>
      </c>
    </row>
    <row r="50" spans="1:26">
      <c r="A50" s="8"/>
      <c r="B50" s="4"/>
      <c r="J50">
        <f>(A44)</f>
        <v>0</v>
      </c>
      <c r="K50" s="4" t="s">
        <v>52</v>
      </c>
      <c r="M50" s="21" t="s">
        <v>53</v>
      </c>
      <c r="N50">
        <v>630</v>
      </c>
      <c r="O50">
        <v>33.03</v>
      </c>
      <c r="P50">
        <v>9.2799999999999994</v>
      </c>
      <c r="Q50">
        <v>41.933</v>
      </c>
      <c r="R50">
        <v>2.1259999999999999</v>
      </c>
      <c r="S50">
        <v>31.579000000000001</v>
      </c>
      <c r="T50">
        <v>9.75</v>
      </c>
      <c r="U50">
        <v>3</v>
      </c>
      <c r="V50">
        <v>5.5</v>
      </c>
      <c r="W50">
        <v>9.1875</v>
      </c>
      <c r="X50">
        <v>43</v>
      </c>
      <c r="Y50">
        <v>3.41</v>
      </c>
      <c r="Z50">
        <v>5.34</v>
      </c>
    </row>
    <row r="51" spans="1:26">
      <c r="A51" s="8"/>
      <c r="B51" s="9"/>
      <c r="M51" s="21" t="s">
        <v>54</v>
      </c>
      <c r="N51">
        <v>630</v>
      </c>
      <c r="O51">
        <v>33.03</v>
      </c>
      <c r="P51">
        <v>11.898999999999999</v>
      </c>
      <c r="Q51">
        <v>51.284999999999997</v>
      </c>
      <c r="R51">
        <v>2.0760000000000001</v>
      </c>
      <c r="S51">
        <v>40.488999999999997</v>
      </c>
      <c r="T51">
        <v>9.75</v>
      </c>
      <c r="U51">
        <v>3</v>
      </c>
      <c r="V51">
        <v>5.5</v>
      </c>
      <c r="W51">
        <v>9.1875</v>
      </c>
      <c r="X51">
        <v>43</v>
      </c>
      <c r="Y51">
        <v>3.41</v>
      </c>
      <c r="Z51">
        <v>5.34</v>
      </c>
    </row>
    <row r="52" spans="1:26">
      <c r="A52" s="8"/>
      <c r="B52" s="9"/>
      <c r="J52">
        <f>(J49*(J44+4)*J50*10^-6)</f>
        <v>0</v>
      </c>
      <c r="M52" s="22" t="s">
        <v>55</v>
      </c>
      <c r="N52" s="13">
        <v>630</v>
      </c>
      <c r="O52" s="13">
        <v>33.03</v>
      </c>
      <c r="P52" s="13">
        <v>14.196</v>
      </c>
      <c r="Q52" s="13">
        <v>58.588999999999999</v>
      </c>
      <c r="R52" s="13">
        <v>2.032</v>
      </c>
      <c r="S52" s="13">
        <v>48.304000000000002</v>
      </c>
      <c r="T52" s="13">
        <v>9.75</v>
      </c>
      <c r="U52" s="13">
        <v>3</v>
      </c>
      <c r="V52" s="13">
        <v>5.5</v>
      </c>
      <c r="W52" s="13">
        <v>9.1875</v>
      </c>
      <c r="X52" s="13">
        <v>43</v>
      </c>
      <c r="Y52" s="13">
        <v>3.41</v>
      </c>
      <c r="Z52" s="13">
        <v>5.34</v>
      </c>
    </row>
    <row r="53" spans="1:26">
      <c r="A53" s="8"/>
      <c r="M53" s="21" t="s">
        <v>56</v>
      </c>
      <c r="N53">
        <v>630</v>
      </c>
      <c r="O53">
        <v>44.031999999999996</v>
      </c>
      <c r="P53">
        <v>8.109</v>
      </c>
      <c r="Q53">
        <v>51.593000000000004</v>
      </c>
      <c r="R53">
        <v>2.5219999999999998</v>
      </c>
      <c r="S53">
        <v>27.591999999999999</v>
      </c>
      <c r="T53">
        <v>10.9375</v>
      </c>
      <c r="U53">
        <v>2.5</v>
      </c>
      <c r="V53">
        <v>6</v>
      </c>
      <c r="W53">
        <v>9.9375</v>
      </c>
      <c r="X53">
        <v>61</v>
      </c>
      <c r="Y53">
        <v>3</v>
      </c>
      <c r="Z53">
        <v>4.29</v>
      </c>
    </row>
    <row r="54" spans="1:26">
      <c r="A54" s="8"/>
      <c r="B54" s="9"/>
      <c r="M54" s="21" t="s">
        <v>57</v>
      </c>
      <c r="N54">
        <v>630</v>
      </c>
      <c r="O54">
        <v>44.031999999999996</v>
      </c>
      <c r="P54">
        <v>9.4350000000000005</v>
      </c>
      <c r="Q54">
        <v>59.033999999999999</v>
      </c>
      <c r="R54">
        <v>2.5009999999999999</v>
      </c>
      <c r="S54">
        <v>32.103999999999999</v>
      </c>
      <c r="T54">
        <v>10.9375</v>
      </c>
      <c r="U54">
        <v>2.5</v>
      </c>
      <c r="V54">
        <v>6</v>
      </c>
      <c r="W54">
        <v>9.9375</v>
      </c>
      <c r="X54">
        <v>61</v>
      </c>
      <c r="Y54">
        <v>3</v>
      </c>
      <c r="Z54">
        <v>4.29</v>
      </c>
    </row>
    <row r="55" spans="1:26" ht="15.75">
      <c r="A55" s="37"/>
      <c r="B55" s="97"/>
      <c r="C55" s="515" t="s">
        <v>93</v>
      </c>
      <c r="D55" s="515"/>
      <c r="E55" s="40">
        <f>(B56-A44)/(O41)-(0.39*A41)</f>
        <v>2.5184199134199128</v>
      </c>
      <c r="M55" s="23" t="s">
        <v>59</v>
      </c>
      <c r="N55">
        <v>630</v>
      </c>
      <c r="O55">
        <v>44.031999999999996</v>
      </c>
      <c r="P55">
        <v>14.49</v>
      </c>
      <c r="Q55">
        <v>84.834000000000003</v>
      </c>
      <c r="R55">
        <v>2.42</v>
      </c>
      <c r="S55">
        <v>49.305</v>
      </c>
      <c r="T55">
        <v>10.9375</v>
      </c>
      <c r="U55">
        <v>2.5</v>
      </c>
      <c r="V55">
        <v>6</v>
      </c>
      <c r="W55">
        <v>9.9375</v>
      </c>
      <c r="X55">
        <v>61</v>
      </c>
      <c r="Y55">
        <v>3</v>
      </c>
      <c r="Z55">
        <v>4.29</v>
      </c>
    </row>
    <row r="56" spans="1:26" ht="15.75">
      <c r="A56" s="37" t="s">
        <v>98</v>
      </c>
      <c r="B56" s="41">
        <f>A43+B60</f>
        <v>35.795624999999994</v>
      </c>
      <c r="C56" s="516" t="s">
        <v>99</v>
      </c>
      <c r="D56" s="516"/>
      <c r="E56" s="42">
        <f>((B56/(O41))*1.1)</f>
        <v>3.3422619047619042</v>
      </c>
      <c r="M56" s="24" t="s">
        <v>58</v>
      </c>
      <c r="N56" s="13">
        <v>630</v>
      </c>
      <c r="O56" s="13">
        <v>44.031999999999996</v>
      </c>
      <c r="P56" s="13">
        <v>19.181000000000001</v>
      </c>
      <c r="Q56" s="13">
        <v>105.14</v>
      </c>
      <c r="R56" s="13">
        <v>2.3410000000000002</v>
      </c>
      <c r="S56" s="13">
        <v>65.268000000000001</v>
      </c>
      <c r="T56" s="13">
        <v>10.9375</v>
      </c>
      <c r="U56" s="13">
        <v>2.5</v>
      </c>
      <c r="V56" s="13">
        <v>6</v>
      </c>
      <c r="W56" s="13">
        <v>9.9375</v>
      </c>
      <c r="X56" s="13">
        <v>61</v>
      </c>
      <c r="Y56" s="13">
        <v>3</v>
      </c>
      <c r="Z56" s="13">
        <v>4.29</v>
      </c>
    </row>
    <row r="57" spans="1:26" ht="15">
      <c r="A57" s="37"/>
      <c r="B57" s="38"/>
      <c r="C57" s="517" t="s">
        <v>106</v>
      </c>
      <c r="D57" s="514" t="str">
        <f>IF(E55&gt;90,"Good!","Too Low, increase GLOPU or decrease jack diameter, if above 50 use ASK ENGINEERING")</f>
        <v>Too Low, increase GLOPU or decrease jack diameter, if above 50 use ASK ENGINEERING</v>
      </c>
      <c r="E57" s="514"/>
      <c r="F57" s="10"/>
      <c r="M57" s="21" t="s">
        <v>60</v>
      </c>
      <c r="N57">
        <v>630</v>
      </c>
      <c r="O57">
        <v>56.578000000000003</v>
      </c>
      <c r="P57">
        <v>9.2829999999999995</v>
      </c>
      <c r="Q57">
        <v>76.736999999999995</v>
      </c>
      <c r="R57">
        <v>2.875</v>
      </c>
      <c r="S57">
        <v>31.588999999999999</v>
      </c>
      <c r="T57">
        <v>10.9375</v>
      </c>
      <c r="U57">
        <v>2.5</v>
      </c>
      <c r="V57">
        <v>6</v>
      </c>
      <c r="W57">
        <v>9.9375</v>
      </c>
      <c r="X57">
        <v>61</v>
      </c>
      <c r="Y57">
        <v>1.82</v>
      </c>
      <c r="Z57">
        <v>2.6</v>
      </c>
    </row>
    <row r="58" spans="1:26" ht="15.75" thickBot="1">
      <c r="A58" s="37"/>
      <c r="B58" s="44"/>
      <c r="C58" s="518"/>
      <c r="D58" s="519"/>
      <c r="E58" s="519"/>
      <c r="M58" s="21" t="s">
        <v>61</v>
      </c>
      <c r="N58">
        <v>630</v>
      </c>
      <c r="O58">
        <v>56.578000000000003</v>
      </c>
      <c r="P58">
        <v>10.734999999999999</v>
      </c>
      <c r="Q58">
        <v>87.494</v>
      </c>
      <c r="R58">
        <v>2.855</v>
      </c>
      <c r="S58">
        <v>36.527999999999999</v>
      </c>
      <c r="T58">
        <v>10.9375</v>
      </c>
      <c r="U58">
        <v>2.5</v>
      </c>
      <c r="V58">
        <v>6</v>
      </c>
      <c r="W58">
        <v>9.9375</v>
      </c>
      <c r="X58">
        <v>61</v>
      </c>
      <c r="Y58">
        <v>1.82</v>
      </c>
      <c r="Z58">
        <v>2.6</v>
      </c>
    </row>
    <row r="59" spans="1:26" ht="15">
      <c r="A59" s="37"/>
      <c r="B59" s="39"/>
      <c r="C59" s="512" t="s">
        <v>118</v>
      </c>
      <c r="D59" s="514" t="str">
        <f>IF(E56&gt;500,"Too High, reduce GLOPU or increase plunger diameter","Good!")</f>
        <v>Good!</v>
      </c>
      <c r="E59" s="514"/>
      <c r="M59" s="24" t="s">
        <v>70</v>
      </c>
      <c r="N59" s="13">
        <v>630</v>
      </c>
      <c r="O59" s="13">
        <v>56.578000000000003</v>
      </c>
      <c r="P59" s="13">
        <v>15.885999999999999</v>
      </c>
      <c r="Q59" s="13">
        <v>122.965</v>
      </c>
      <c r="R59" s="13">
        <v>2.782</v>
      </c>
      <c r="S59" s="13">
        <v>54.055</v>
      </c>
      <c r="T59" s="13">
        <v>10.9375</v>
      </c>
      <c r="U59" s="13">
        <v>2.5</v>
      </c>
      <c r="V59" s="13">
        <v>6</v>
      </c>
      <c r="W59" s="13">
        <v>9.9375</v>
      </c>
      <c r="X59" s="13">
        <v>61</v>
      </c>
      <c r="Y59" s="13">
        <v>1.82</v>
      </c>
      <c r="Z59" s="13">
        <v>2.6</v>
      </c>
    </row>
    <row r="60" spans="1:26" ht="15">
      <c r="A60" s="46" t="s">
        <v>122</v>
      </c>
      <c r="B60" s="96">
        <f>S41*A49</f>
        <v>35.795624999999994</v>
      </c>
      <c r="C60" s="513"/>
      <c r="D60" s="514"/>
      <c r="E60" s="514"/>
      <c r="M60" s="21" t="s">
        <v>62</v>
      </c>
      <c r="N60">
        <v>537</v>
      </c>
      <c r="O60">
        <v>70.695999999999998</v>
      </c>
      <c r="P60">
        <v>12.27</v>
      </c>
      <c r="Q60">
        <v>126.072</v>
      </c>
      <c r="R60">
        <v>3.2050000000000001</v>
      </c>
      <c r="S60">
        <v>41.75</v>
      </c>
      <c r="T60">
        <v>14.375</v>
      </c>
      <c r="U60">
        <v>2.5</v>
      </c>
      <c r="V60">
        <v>6</v>
      </c>
      <c r="W60">
        <v>12.9375</v>
      </c>
      <c r="X60">
        <v>80</v>
      </c>
      <c r="Y60">
        <v>1.66</v>
      </c>
      <c r="Z60">
        <v>2.62</v>
      </c>
    </row>
    <row r="61" spans="1:26">
      <c r="E61" s="10"/>
      <c r="F61" s="10"/>
      <c r="M61" s="22" t="s">
        <v>63</v>
      </c>
      <c r="N61" s="13">
        <v>537</v>
      </c>
      <c r="O61" s="13">
        <v>70.695999999999998</v>
      </c>
      <c r="P61" s="13">
        <v>18.847000000000001</v>
      </c>
      <c r="Q61" s="13">
        <v>183.79400000000001</v>
      </c>
      <c r="R61" s="13">
        <v>3.1230000000000002</v>
      </c>
      <c r="S61" s="13">
        <v>64.132000000000005</v>
      </c>
      <c r="T61" s="13">
        <v>14.375</v>
      </c>
      <c r="U61" s="13">
        <v>2.5</v>
      </c>
      <c r="V61" s="13">
        <v>6</v>
      </c>
      <c r="W61" s="13">
        <v>12.9375</v>
      </c>
      <c r="X61" s="13">
        <v>80</v>
      </c>
      <c r="Y61" s="13">
        <v>1.66</v>
      </c>
      <c r="Z61" s="13">
        <v>2.62</v>
      </c>
    </row>
    <row r="62" spans="1:26">
      <c r="A62" s="8"/>
      <c r="B62" s="9"/>
      <c r="M62" s="21" t="s">
        <v>64</v>
      </c>
      <c r="N62">
        <v>537</v>
      </c>
      <c r="O62">
        <v>88.456000000000003</v>
      </c>
      <c r="P62">
        <v>13.656000000000001</v>
      </c>
      <c r="Q62">
        <v>177.40799999999999</v>
      </c>
      <c r="R62">
        <v>3.6040000000000001</v>
      </c>
      <c r="S62">
        <v>46.466999999999999</v>
      </c>
      <c r="T62">
        <v>14.375</v>
      </c>
      <c r="U62">
        <v>2.5</v>
      </c>
      <c r="V62">
        <v>6</v>
      </c>
      <c r="W62">
        <v>13.3125</v>
      </c>
      <c r="X62">
        <v>80</v>
      </c>
      <c r="Y62">
        <v>1.06</v>
      </c>
      <c r="Z62">
        <v>1.67</v>
      </c>
    </row>
    <row r="63" spans="1:26">
      <c r="B63" s="9"/>
      <c r="M63" s="21" t="s">
        <v>65</v>
      </c>
      <c r="N63">
        <v>537</v>
      </c>
      <c r="O63">
        <v>88.456000000000003</v>
      </c>
      <c r="P63">
        <v>16.48</v>
      </c>
      <c r="Q63">
        <v>210.39400000000001</v>
      </c>
      <c r="R63">
        <v>3.573</v>
      </c>
      <c r="S63">
        <v>56.076999999999998</v>
      </c>
      <c r="T63">
        <v>14.375</v>
      </c>
      <c r="U63">
        <v>2.5</v>
      </c>
      <c r="V63">
        <v>6</v>
      </c>
      <c r="W63">
        <v>13.3125</v>
      </c>
      <c r="X63">
        <v>80</v>
      </c>
      <c r="Y63">
        <v>1.06</v>
      </c>
      <c r="Z63">
        <v>1.67</v>
      </c>
    </row>
    <row r="64" spans="1:26">
      <c r="B64" s="9"/>
      <c r="M64" s="22" t="s">
        <v>66</v>
      </c>
      <c r="N64" s="13">
        <v>537</v>
      </c>
      <c r="O64" s="13">
        <v>88.456000000000003</v>
      </c>
      <c r="P64" s="13">
        <v>20.350999999999999</v>
      </c>
      <c r="Q64" s="13">
        <v>253.547</v>
      </c>
      <c r="R64" s="13">
        <v>3.53</v>
      </c>
      <c r="S64" s="13">
        <v>69.248999999999995</v>
      </c>
      <c r="T64" s="13">
        <v>14.375</v>
      </c>
      <c r="U64" s="13">
        <v>2.5</v>
      </c>
      <c r="V64" s="13">
        <v>6</v>
      </c>
      <c r="W64" s="13">
        <v>13.3125</v>
      </c>
      <c r="X64" s="13">
        <v>80</v>
      </c>
      <c r="Y64" s="13">
        <v>1.06</v>
      </c>
      <c r="Z64" s="13">
        <v>1.67</v>
      </c>
    </row>
    <row r="65" spans="1:26">
      <c r="M65" s="21" t="s">
        <v>67</v>
      </c>
      <c r="N65">
        <v>449</v>
      </c>
      <c r="O65">
        <v>124.937</v>
      </c>
      <c r="P65">
        <v>16.503</v>
      </c>
      <c r="Q65">
        <v>306.48500000000001</v>
      </c>
      <c r="R65">
        <v>4.3090000000000002</v>
      </c>
      <c r="S65">
        <v>56.155999999999999</v>
      </c>
      <c r="T65">
        <v>0</v>
      </c>
      <c r="U65">
        <v>2.5</v>
      </c>
      <c r="V65">
        <v>6</v>
      </c>
      <c r="W65">
        <v>15.3125</v>
      </c>
      <c r="X65">
        <v>125</v>
      </c>
      <c r="Y65">
        <v>0.83899999999999997</v>
      </c>
      <c r="Z65">
        <v>0</v>
      </c>
    </row>
    <row r="66" spans="1:26">
      <c r="M66" s="22" t="s">
        <v>68</v>
      </c>
      <c r="N66" s="13">
        <v>449</v>
      </c>
      <c r="O66" s="13">
        <v>124.937</v>
      </c>
      <c r="P66" s="13">
        <v>18.78</v>
      </c>
      <c r="Q66" s="13">
        <v>345.36099999999999</v>
      </c>
      <c r="R66" s="13">
        <v>4.2880000000000003</v>
      </c>
      <c r="S66" s="13">
        <v>63.902999999999999</v>
      </c>
      <c r="T66" s="13">
        <v>0</v>
      </c>
      <c r="U66" s="13">
        <v>2.5</v>
      </c>
      <c r="V66" s="13">
        <v>6</v>
      </c>
      <c r="W66" s="13">
        <v>15.3125</v>
      </c>
      <c r="X66" s="13">
        <v>125</v>
      </c>
      <c r="Y66" s="13">
        <v>0.83899999999999997</v>
      </c>
      <c r="Z66" s="13">
        <v>0</v>
      </c>
    </row>
    <row r="67" spans="1:26">
      <c r="M67" s="22" t="s">
        <v>69</v>
      </c>
      <c r="N67" s="14">
        <v>449</v>
      </c>
      <c r="O67" s="14">
        <v>194.51900000000001</v>
      </c>
      <c r="P67" s="14">
        <v>25.079000000000001</v>
      </c>
      <c r="Q67" s="14">
        <v>726.36</v>
      </c>
      <c r="R67" s="14">
        <v>5.3819999999999997</v>
      </c>
      <c r="S67" s="14">
        <v>85.337000000000003</v>
      </c>
      <c r="T67" s="14">
        <v>0</v>
      </c>
      <c r="U67" s="14">
        <v>6</v>
      </c>
      <c r="V67" s="14">
        <v>6</v>
      </c>
      <c r="W67" s="14">
        <v>15.375</v>
      </c>
      <c r="X67" s="14">
        <v>192</v>
      </c>
      <c r="Y67" s="14">
        <v>0.54300000000000004</v>
      </c>
      <c r="Z67" s="14">
        <v>0</v>
      </c>
    </row>
    <row r="70" spans="1:26" ht="12.75">
      <c r="A70" s="3"/>
      <c r="B70" s="15"/>
      <c r="C70" s="16"/>
      <c r="D70" s="16"/>
      <c r="E70" s="16"/>
      <c r="F70" s="16"/>
      <c r="G70" s="20"/>
      <c r="H70" s="4" t="s">
        <v>1</v>
      </c>
      <c r="J70" s="4" t="s">
        <v>2</v>
      </c>
      <c r="M70" s="4" t="s">
        <v>3</v>
      </c>
    </row>
    <row r="71" spans="1:26" ht="12.75">
      <c r="A71" s="1"/>
      <c r="B71" s="1"/>
      <c r="C71" s="1"/>
      <c r="D71" s="1"/>
      <c r="E71" s="1"/>
      <c r="F71" s="1"/>
      <c r="G71" s="1"/>
      <c r="J71" s="5">
        <f>2.85*10^8</f>
        <v>285000000</v>
      </c>
      <c r="K71" s="4" t="s">
        <v>4</v>
      </c>
      <c r="N71" s="4" t="s">
        <v>5</v>
      </c>
      <c r="O71" s="6" t="s">
        <v>6</v>
      </c>
      <c r="P71" s="6" t="s">
        <v>7</v>
      </c>
      <c r="Q71" s="6" t="s">
        <v>8</v>
      </c>
      <c r="R71" s="6" t="s">
        <v>9</v>
      </c>
      <c r="S71" s="6" t="s">
        <v>10</v>
      </c>
      <c r="T71" s="6" t="s">
        <v>11</v>
      </c>
      <c r="U71" s="6" t="s">
        <v>11</v>
      </c>
      <c r="V71" s="6" t="s">
        <v>11</v>
      </c>
      <c r="W71" s="6" t="s">
        <v>11</v>
      </c>
      <c r="X71" s="6" t="s">
        <v>12</v>
      </c>
      <c r="Y71" s="520" t="s">
        <v>13</v>
      </c>
      <c r="Z71" s="520"/>
    </row>
    <row r="72" spans="1:26" ht="12.75">
      <c r="A72" s="1"/>
      <c r="B72" s="1"/>
      <c r="C72" s="1"/>
      <c r="D72" s="1"/>
      <c r="E72" s="1"/>
      <c r="F72" s="1"/>
      <c r="G72" s="1"/>
      <c r="J72">
        <f>VLOOKUP(A73,M70:Z100,4,FALSE)</f>
        <v>3.3490000000000002</v>
      </c>
      <c r="K72" s="4" t="s">
        <v>14</v>
      </c>
      <c r="M72" s="4" t="s">
        <v>15</v>
      </c>
      <c r="N72" s="4" t="s">
        <v>16</v>
      </c>
      <c r="O72" s="6" t="s">
        <v>17</v>
      </c>
      <c r="P72" s="6" t="s">
        <v>17</v>
      </c>
      <c r="Q72" s="6" t="s">
        <v>18</v>
      </c>
      <c r="R72" s="6" t="s">
        <v>19</v>
      </c>
      <c r="S72" s="6" t="s">
        <v>20</v>
      </c>
      <c r="T72" s="6" t="s">
        <v>21</v>
      </c>
      <c r="U72" s="6" t="s">
        <v>22</v>
      </c>
      <c r="V72" s="6" t="s">
        <v>23</v>
      </c>
      <c r="W72" s="6" t="s">
        <v>24</v>
      </c>
      <c r="Y72" s="6" t="s">
        <v>25</v>
      </c>
      <c r="Z72" s="4" t="s">
        <v>26</v>
      </c>
    </row>
    <row r="73" spans="1:26" ht="12.75">
      <c r="A73" s="11" t="s">
        <v>36</v>
      </c>
      <c r="B73" s="3" t="s">
        <v>28</v>
      </c>
      <c r="C73" s="7"/>
      <c r="D73" s="7"/>
      <c r="E73" s="7"/>
      <c r="F73" s="7"/>
      <c r="G73" s="3" t="s">
        <v>1</v>
      </c>
      <c r="J73">
        <f>(A76)</f>
        <v>0</v>
      </c>
      <c r="K73" s="4" t="s">
        <v>29</v>
      </c>
      <c r="M73" s="21" t="s">
        <v>30</v>
      </c>
      <c r="N73">
        <v>492</v>
      </c>
      <c r="O73">
        <v>11.781000000000001</v>
      </c>
      <c r="P73">
        <v>2.8980000000000001</v>
      </c>
      <c r="Q73">
        <v>4.766</v>
      </c>
      <c r="R73">
        <v>1.282</v>
      </c>
      <c r="S73">
        <v>9.8620000000000001</v>
      </c>
      <c r="T73">
        <v>0</v>
      </c>
      <c r="U73">
        <v>3</v>
      </c>
      <c r="V73">
        <v>6.75</v>
      </c>
      <c r="W73">
        <v>9.375</v>
      </c>
      <c r="X73">
        <v>22</v>
      </c>
      <c r="Y73">
        <v>10.47</v>
      </c>
      <c r="Z73">
        <v>0</v>
      </c>
    </row>
    <row r="74" spans="1:26" ht="12.75">
      <c r="A74" s="319">
        <f>'Estimating Form'!$D$18/12+L956</f>
        <v>1.3333333333333333</v>
      </c>
      <c r="B74" s="3" t="s">
        <v>31</v>
      </c>
      <c r="C74" s="7"/>
      <c r="D74" s="7"/>
      <c r="E74" s="7"/>
      <c r="F74" s="7"/>
      <c r="G74" s="7"/>
      <c r="J74">
        <f>VLOOKUP(A73,M70:Z101,7,FALSE)</f>
        <v>11.396000000000001</v>
      </c>
      <c r="K74" s="4" t="s">
        <v>32</v>
      </c>
      <c r="M74" s="22" t="s">
        <v>33</v>
      </c>
      <c r="N74" s="13">
        <v>492</v>
      </c>
      <c r="O74" s="13">
        <v>11.781000000000001</v>
      </c>
      <c r="P74" s="13">
        <v>5.94</v>
      </c>
      <c r="Q74" s="13">
        <v>8.33</v>
      </c>
      <c r="R74" s="13">
        <v>1.1839999999999999</v>
      </c>
      <c r="S74" s="13">
        <v>20.213999999999999</v>
      </c>
      <c r="T74" s="13">
        <v>0</v>
      </c>
      <c r="U74" s="13">
        <v>3</v>
      </c>
      <c r="V74" s="13">
        <v>6.75</v>
      </c>
      <c r="W74" s="13">
        <v>9.375</v>
      </c>
      <c r="X74" s="13">
        <v>22</v>
      </c>
      <c r="Y74" s="13">
        <v>10.47</v>
      </c>
      <c r="Z74" s="13">
        <v>0</v>
      </c>
    </row>
    <row r="75" spans="1:26" ht="12.75">
      <c r="A75" s="11">
        <v>0</v>
      </c>
      <c r="B75" s="3" t="s">
        <v>34</v>
      </c>
      <c r="C75" s="7"/>
      <c r="D75" s="7"/>
      <c r="E75" s="7"/>
      <c r="F75" s="7"/>
      <c r="G75" s="7"/>
      <c r="J75">
        <f>VLOOKUP(A73,M70:Z100,6,FALSE)</f>
        <v>1.452</v>
      </c>
      <c r="K75" s="4" t="s">
        <v>35</v>
      </c>
      <c r="M75" s="21" t="s">
        <v>36</v>
      </c>
      <c r="N75">
        <v>594</v>
      </c>
      <c r="O75">
        <v>14.93</v>
      </c>
      <c r="P75">
        <v>3.3490000000000002</v>
      </c>
      <c r="Q75">
        <v>7.0650000000000004</v>
      </c>
      <c r="R75">
        <v>1.452</v>
      </c>
      <c r="S75">
        <v>11.396000000000001</v>
      </c>
      <c r="T75">
        <v>9.3125</v>
      </c>
      <c r="U75">
        <v>3</v>
      </c>
      <c r="V75">
        <v>5.5</v>
      </c>
      <c r="W75">
        <v>8.8125</v>
      </c>
      <c r="X75">
        <v>29</v>
      </c>
      <c r="Y75">
        <v>9.52</v>
      </c>
      <c r="Z75">
        <v>16.670000000000002</v>
      </c>
    </row>
    <row r="76" spans="1:26" ht="12.75">
      <c r="A76" s="11">
        <f>'Estimating Form'!$G$22</f>
        <v>0</v>
      </c>
      <c r="B76" s="3" t="s">
        <v>37</v>
      </c>
      <c r="C76" s="7"/>
      <c r="D76" s="7"/>
      <c r="E76" s="7"/>
      <c r="F76" s="7"/>
      <c r="G76" s="7"/>
      <c r="J76">
        <f>(A74*12+A75)</f>
        <v>16</v>
      </c>
      <c r="K76" s="4" t="s">
        <v>38</v>
      </c>
      <c r="M76" s="21" t="s">
        <v>39</v>
      </c>
      <c r="N76">
        <v>594</v>
      </c>
      <c r="O76">
        <v>14.93</v>
      </c>
      <c r="P76">
        <v>5.5170000000000003</v>
      </c>
      <c r="Q76">
        <v>10.686999999999999</v>
      </c>
      <c r="R76">
        <v>1.3919999999999999</v>
      </c>
      <c r="S76">
        <v>18.771999999999998</v>
      </c>
      <c r="T76">
        <v>9.3125</v>
      </c>
      <c r="U76">
        <v>3</v>
      </c>
      <c r="V76">
        <v>5.5</v>
      </c>
      <c r="W76">
        <v>8.8125</v>
      </c>
      <c r="X76">
        <v>29</v>
      </c>
      <c r="Y76">
        <v>9.52</v>
      </c>
      <c r="Z76">
        <v>16.670000000000002</v>
      </c>
    </row>
    <row r="77" spans="1:26" ht="12.75">
      <c r="A77" s="11">
        <f>'Estimating Form'!$D$20</f>
        <v>0</v>
      </c>
      <c r="B77" s="3" t="s">
        <v>40</v>
      </c>
      <c r="C77" s="7"/>
      <c r="D77" s="7"/>
      <c r="E77" s="7"/>
      <c r="F77" s="7"/>
      <c r="G77" s="7"/>
      <c r="J77">
        <f>(A74+A75/12)</f>
        <v>1.3333333333333333</v>
      </c>
      <c r="K77" s="4" t="s">
        <v>41</v>
      </c>
      <c r="M77" s="22" t="s">
        <v>42</v>
      </c>
      <c r="N77" s="13">
        <v>594</v>
      </c>
      <c r="O77" s="13">
        <v>14.93</v>
      </c>
      <c r="P77" s="13">
        <v>7.1269999999999998</v>
      </c>
      <c r="Q77" s="13">
        <v>12.893000000000001</v>
      </c>
      <c r="R77" s="13">
        <v>1.345</v>
      </c>
      <c r="S77" s="13">
        <v>24.251999999999999</v>
      </c>
      <c r="T77" s="13">
        <v>9.3125</v>
      </c>
      <c r="U77" s="13">
        <v>3</v>
      </c>
      <c r="V77" s="13">
        <v>5.5</v>
      </c>
      <c r="W77" s="13">
        <v>8.8125</v>
      </c>
      <c r="X77" s="13">
        <v>29</v>
      </c>
      <c r="Y77" s="13">
        <v>9.52</v>
      </c>
      <c r="Z77" s="13">
        <v>16.670000000000002</v>
      </c>
    </row>
    <row r="78" spans="1:26" ht="12.75">
      <c r="A78" s="11">
        <v>0</v>
      </c>
      <c r="B78" s="3" t="s">
        <v>43</v>
      </c>
      <c r="C78" s="7"/>
      <c r="D78" s="7"/>
      <c r="E78" s="7"/>
      <c r="F78" s="7"/>
      <c r="G78" s="7"/>
      <c r="M78" s="21" t="s">
        <v>44</v>
      </c>
      <c r="N78">
        <v>630</v>
      </c>
      <c r="O78">
        <v>23.114999999999998</v>
      </c>
      <c r="P78">
        <v>4.8</v>
      </c>
      <c r="Q78">
        <v>15.824999999999999</v>
      </c>
      <c r="R78">
        <v>1.8160000000000001</v>
      </c>
      <c r="S78">
        <v>16.332999999999998</v>
      </c>
      <c r="T78">
        <v>9.75</v>
      </c>
      <c r="U78">
        <v>3</v>
      </c>
      <c r="V78">
        <v>5.5</v>
      </c>
      <c r="W78">
        <v>9.1875</v>
      </c>
      <c r="X78">
        <v>43</v>
      </c>
      <c r="Y78">
        <v>6.95</v>
      </c>
      <c r="Z78">
        <v>10.9</v>
      </c>
    </row>
    <row r="79" spans="1:26" ht="12.75">
      <c r="A79" s="7"/>
      <c r="B79" s="7"/>
      <c r="C79" s="7"/>
      <c r="D79" s="7"/>
      <c r="E79" s="7"/>
      <c r="F79" s="7"/>
      <c r="G79" s="7"/>
      <c r="J79">
        <f>(J71*J72/(J73+(J74*J77/2)))*(J75/J76)^2</f>
        <v>1034646.7394124035</v>
      </c>
      <c r="M79" s="21" t="s">
        <v>45</v>
      </c>
      <c r="N79">
        <v>630</v>
      </c>
      <c r="O79">
        <v>23.114999999999998</v>
      </c>
      <c r="P79">
        <v>6.59</v>
      </c>
      <c r="Q79">
        <v>20.786000000000001</v>
      </c>
      <c r="R79">
        <v>1.776</v>
      </c>
      <c r="S79">
        <v>22.422000000000001</v>
      </c>
      <c r="T79">
        <v>9.75</v>
      </c>
      <c r="U79">
        <v>3</v>
      </c>
      <c r="V79">
        <v>5.5</v>
      </c>
      <c r="W79">
        <v>9.1875</v>
      </c>
      <c r="X79">
        <v>43</v>
      </c>
      <c r="Y79">
        <v>6.95</v>
      </c>
      <c r="Z79">
        <v>10.9</v>
      </c>
    </row>
    <row r="80" spans="1:26" ht="12.75">
      <c r="A80" s="12">
        <f>(J79)</f>
        <v>1034646.7394124035</v>
      </c>
      <c r="B80" s="3" t="s">
        <v>46</v>
      </c>
      <c r="C80" s="7"/>
      <c r="D80" s="7"/>
      <c r="E80" s="7"/>
      <c r="F80" s="7"/>
      <c r="G80" s="7"/>
      <c r="M80" s="21" t="s">
        <v>47</v>
      </c>
      <c r="N80">
        <v>630</v>
      </c>
      <c r="O80">
        <v>23.114999999999998</v>
      </c>
      <c r="P80">
        <v>8.5050000000000008</v>
      </c>
      <c r="Q80">
        <v>25.532</v>
      </c>
      <c r="R80">
        <v>1.7330000000000001</v>
      </c>
      <c r="S80">
        <v>28.94</v>
      </c>
      <c r="T80">
        <v>9.75</v>
      </c>
      <c r="U80">
        <v>3</v>
      </c>
      <c r="V80">
        <v>5.5</v>
      </c>
      <c r="W80">
        <v>9.1875</v>
      </c>
      <c r="X80">
        <v>43</v>
      </c>
      <c r="Y80">
        <v>6.95</v>
      </c>
      <c r="Z80">
        <v>10.9</v>
      </c>
    </row>
    <row r="81" spans="1:26" ht="12.75">
      <c r="A81" s="12">
        <f>(J85)</f>
        <v>0</v>
      </c>
      <c r="B81" s="3" t="s">
        <v>48</v>
      </c>
      <c r="C81" s="7"/>
      <c r="D81" s="7"/>
      <c r="E81" s="7"/>
      <c r="F81" s="7"/>
      <c r="G81" s="7"/>
      <c r="J81" s="4" t="s">
        <v>49</v>
      </c>
      <c r="M81" s="22" t="s">
        <v>50</v>
      </c>
      <c r="N81" s="13">
        <v>234</v>
      </c>
      <c r="O81" s="13">
        <v>23.114999999999998</v>
      </c>
      <c r="P81" s="13">
        <v>10.148999999999999</v>
      </c>
      <c r="Q81" s="13">
        <v>29.140999999999998</v>
      </c>
      <c r="R81" s="13">
        <v>1.694</v>
      </c>
      <c r="S81" s="13">
        <v>34.436</v>
      </c>
      <c r="T81" s="13">
        <v>9.75</v>
      </c>
      <c r="U81" s="13">
        <v>3</v>
      </c>
      <c r="V81" s="13">
        <v>5.5</v>
      </c>
      <c r="W81" s="13">
        <v>9.1875</v>
      </c>
      <c r="X81" s="13">
        <v>43</v>
      </c>
      <c r="Y81" s="13">
        <v>6.95</v>
      </c>
      <c r="Z81" s="13">
        <v>10.9</v>
      </c>
    </row>
    <row r="82" spans="1:26" ht="12.75">
      <c r="A82" s="11">
        <f>'Estimating Form'!$D$18/12+L957</f>
        <v>1.7708333333333333</v>
      </c>
      <c r="B82" s="3" t="s">
        <v>957</v>
      </c>
      <c r="J82">
        <f>VLOOKUP(A73,M70:Z100,IF(A78=1,13,12)+1,FALSE)</f>
        <v>9.52</v>
      </c>
      <c r="K82" s="4" t="s">
        <v>51</v>
      </c>
      <c r="M82" s="21" t="s">
        <v>27</v>
      </c>
      <c r="N82">
        <v>630</v>
      </c>
      <c r="O82">
        <v>33.03</v>
      </c>
      <c r="P82">
        <v>5.9219999999999997</v>
      </c>
      <c r="Q82">
        <v>28.338999999999999</v>
      </c>
      <c r="R82">
        <v>2.1880000000000002</v>
      </c>
      <c r="S82">
        <v>20.149999999999999</v>
      </c>
      <c r="T82">
        <v>9.75</v>
      </c>
      <c r="U82">
        <v>3</v>
      </c>
      <c r="V82">
        <v>5.5</v>
      </c>
      <c r="W82">
        <v>9.1875</v>
      </c>
      <c r="X82">
        <v>43</v>
      </c>
      <c r="Y82">
        <v>3.41</v>
      </c>
      <c r="Z82">
        <v>5.34</v>
      </c>
    </row>
    <row r="83" spans="1:26">
      <c r="A83" s="8"/>
      <c r="B83" s="4"/>
      <c r="J83">
        <f>(A77)</f>
        <v>0</v>
      </c>
      <c r="K83" s="4" t="s">
        <v>52</v>
      </c>
      <c r="M83" s="21" t="s">
        <v>53</v>
      </c>
      <c r="N83">
        <v>630</v>
      </c>
      <c r="O83">
        <v>33.03</v>
      </c>
      <c r="P83">
        <v>9.2799999999999994</v>
      </c>
      <c r="Q83">
        <v>41.933</v>
      </c>
      <c r="R83">
        <v>2.1259999999999999</v>
      </c>
      <c r="S83">
        <v>31.579000000000001</v>
      </c>
      <c r="T83">
        <v>9.75</v>
      </c>
      <c r="U83">
        <v>3</v>
      </c>
      <c r="V83">
        <v>5.5</v>
      </c>
      <c r="W83">
        <v>9.1875</v>
      </c>
      <c r="X83">
        <v>43</v>
      </c>
      <c r="Y83">
        <v>3.41</v>
      </c>
      <c r="Z83">
        <v>5.34</v>
      </c>
    </row>
    <row r="84" spans="1:26">
      <c r="A84" s="8"/>
      <c r="B84" s="9"/>
      <c r="M84" s="21" t="s">
        <v>54</v>
      </c>
      <c r="N84">
        <v>630</v>
      </c>
      <c r="O84">
        <v>33.03</v>
      </c>
      <c r="P84">
        <v>11.898999999999999</v>
      </c>
      <c r="Q84">
        <v>51.284999999999997</v>
      </c>
      <c r="R84">
        <v>2.0760000000000001</v>
      </c>
      <c r="S84">
        <v>40.488999999999997</v>
      </c>
      <c r="T84">
        <v>9.75</v>
      </c>
      <c r="U84">
        <v>3</v>
      </c>
      <c r="V84">
        <v>5.5</v>
      </c>
      <c r="W84">
        <v>9.1875</v>
      </c>
      <c r="X84">
        <v>43</v>
      </c>
      <c r="Y84">
        <v>3.41</v>
      </c>
      <c r="Z84">
        <v>5.34</v>
      </c>
    </row>
    <row r="85" spans="1:26">
      <c r="A85" s="8"/>
      <c r="B85" s="9"/>
      <c r="J85">
        <f>(J82*(J77+4)*J83*10^-6)</f>
        <v>0</v>
      </c>
      <c r="M85" s="22" t="s">
        <v>55</v>
      </c>
      <c r="N85" s="13">
        <v>630</v>
      </c>
      <c r="O85" s="13">
        <v>33.03</v>
      </c>
      <c r="P85" s="13">
        <v>14.196</v>
      </c>
      <c r="Q85" s="13">
        <v>58.588999999999999</v>
      </c>
      <c r="R85" s="13">
        <v>2.032</v>
      </c>
      <c r="S85" s="13">
        <v>48.304000000000002</v>
      </c>
      <c r="T85" s="13">
        <v>9.75</v>
      </c>
      <c r="U85" s="13">
        <v>3</v>
      </c>
      <c r="V85" s="13">
        <v>5.5</v>
      </c>
      <c r="W85" s="13">
        <v>9.1875</v>
      </c>
      <c r="X85" s="13">
        <v>43</v>
      </c>
      <c r="Y85" s="13">
        <v>3.41</v>
      </c>
      <c r="Z85" s="13">
        <v>5.34</v>
      </c>
    </row>
    <row r="86" spans="1:26">
      <c r="A86" s="8"/>
      <c r="M86" s="21" t="s">
        <v>56</v>
      </c>
      <c r="N86">
        <v>630</v>
      </c>
      <c r="O86">
        <v>44.031999999999996</v>
      </c>
      <c r="P86">
        <v>8.109</v>
      </c>
      <c r="Q86">
        <v>51.593000000000004</v>
      </c>
      <c r="R86">
        <v>2.5219999999999998</v>
      </c>
      <c r="S86">
        <v>27.591999999999999</v>
      </c>
      <c r="T86">
        <v>10.9375</v>
      </c>
      <c r="U86">
        <v>2.5</v>
      </c>
      <c r="V86">
        <v>6</v>
      </c>
      <c r="W86">
        <v>9.9375</v>
      </c>
      <c r="X86">
        <v>61</v>
      </c>
      <c r="Y86">
        <v>3</v>
      </c>
      <c r="Z86">
        <v>4.29</v>
      </c>
    </row>
    <row r="87" spans="1:26">
      <c r="A87" s="8"/>
      <c r="B87" s="9"/>
      <c r="M87" s="21" t="s">
        <v>57</v>
      </c>
      <c r="N87">
        <v>630</v>
      </c>
      <c r="O87">
        <v>44.031999999999996</v>
      </c>
      <c r="P87">
        <v>9.4350000000000005</v>
      </c>
      <c r="Q87">
        <v>59.033999999999999</v>
      </c>
      <c r="R87">
        <v>2.5009999999999999</v>
      </c>
      <c r="S87">
        <v>32.103999999999999</v>
      </c>
      <c r="T87">
        <v>10.9375</v>
      </c>
      <c r="U87">
        <v>2.5</v>
      </c>
      <c r="V87">
        <v>6</v>
      </c>
      <c r="W87">
        <v>9.9375</v>
      </c>
      <c r="X87">
        <v>61</v>
      </c>
      <c r="Y87">
        <v>3</v>
      </c>
      <c r="Z87">
        <v>4.29</v>
      </c>
    </row>
    <row r="88" spans="1:26" ht="15.75">
      <c r="A88" s="37"/>
      <c r="B88" s="97"/>
      <c r="C88" s="515" t="s">
        <v>93</v>
      </c>
      <c r="D88" s="515"/>
      <c r="E88" s="40">
        <f>(B89-A77)/(O75)-(0.39*A74)</f>
        <v>1.8775636302746146</v>
      </c>
      <c r="M88" s="23" t="s">
        <v>59</v>
      </c>
      <c r="N88">
        <v>630</v>
      </c>
      <c r="O88">
        <v>44.031999999999996</v>
      </c>
      <c r="P88">
        <v>14.49</v>
      </c>
      <c r="Q88">
        <v>84.834000000000003</v>
      </c>
      <c r="R88">
        <v>2.42</v>
      </c>
      <c r="S88">
        <v>49.305</v>
      </c>
      <c r="T88">
        <v>10.9375</v>
      </c>
      <c r="U88">
        <v>2.5</v>
      </c>
      <c r="V88">
        <v>6</v>
      </c>
      <c r="W88">
        <v>9.9375</v>
      </c>
      <c r="X88">
        <v>61</v>
      </c>
      <c r="Y88">
        <v>3</v>
      </c>
      <c r="Z88">
        <v>4.29</v>
      </c>
    </row>
    <row r="89" spans="1:26" ht="15.75">
      <c r="A89" s="37" t="s">
        <v>98</v>
      </c>
      <c r="B89" s="41">
        <f>A76+B93</f>
        <v>35.795624999999994</v>
      </c>
      <c r="C89" s="516" t="s">
        <v>99</v>
      </c>
      <c r="D89" s="516"/>
      <c r="E89" s="42">
        <f>((B89/(O75))*1.1)</f>
        <v>2.6373199933020763</v>
      </c>
      <c r="M89" s="24" t="s">
        <v>58</v>
      </c>
      <c r="N89" s="13">
        <v>630</v>
      </c>
      <c r="O89" s="13">
        <v>44.031999999999996</v>
      </c>
      <c r="P89" s="13">
        <v>19.181000000000001</v>
      </c>
      <c r="Q89" s="13">
        <v>105.14</v>
      </c>
      <c r="R89" s="13">
        <v>2.3410000000000002</v>
      </c>
      <c r="S89" s="13">
        <v>65.268000000000001</v>
      </c>
      <c r="T89" s="13">
        <v>10.9375</v>
      </c>
      <c r="U89" s="13">
        <v>2.5</v>
      </c>
      <c r="V89" s="13">
        <v>6</v>
      </c>
      <c r="W89" s="13">
        <v>9.9375</v>
      </c>
      <c r="X89" s="13">
        <v>61</v>
      </c>
      <c r="Y89" s="13">
        <v>3</v>
      </c>
      <c r="Z89" s="13">
        <v>4.29</v>
      </c>
    </row>
    <row r="90" spans="1:26" ht="15">
      <c r="A90" s="37"/>
      <c r="B90" s="38"/>
      <c r="C90" s="517" t="s">
        <v>106</v>
      </c>
      <c r="D90" s="514" t="str">
        <f>IF(E88&gt;90,"Good!","Too Low, increase GLOPU or decrease jack diameter, if above 50 use ASK ENGINEERING")</f>
        <v>Too Low, increase GLOPU or decrease jack diameter, if above 50 use ASK ENGINEERING</v>
      </c>
      <c r="E90" s="514"/>
      <c r="F90" s="10"/>
      <c r="M90" s="21" t="s">
        <v>60</v>
      </c>
      <c r="N90">
        <v>630</v>
      </c>
      <c r="O90">
        <v>56.578000000000003</v>
      </c>
      <c r="P90">
        <v>9.2829999999999995</v>
      </c>
      <c r="Q90">
        <v>76.736999999999995</v>
      </c>
      <c r="R90">
        <v>2.875</v>
      </c>
      <c r="S90">
        <v>31.588999999999999</v>
      </c>
      <c r="T90">
        <v>10.9375</v>
      </c>
      <c r="U90">
        <v>2.5</v>
      </c>
      <c r="V90">
        <v>6</v>
      </c>
      <c r="W90">
        <v>9.9375</v>
      </c>
      <c r="X90">
        <v>61</v>
      </c>
      <c r="Y90">
        <v>1.82</v>
      </c>
      <c r="Z90">
        <v>2.6</v>
      </c>
    </row>
    <row r="91" spans="1:26" ht="15.75" thickBot="1">
      <c r="A91" s="37"/>
      <c r="B91" s="44"/>
      <c r="C91" s="518"/>
      <c r="D91" s="519"/>
      <c r="E91" s="519"/>
      <c r="M91" s="21" t="s">
        <v>61</v>
      </c>
      <c r="N91">
        <v>630</v>
      </c>
      <c r="O91">
        <v>56.578000000000003</v>
      </c>
      <c r="P91">
        <v>10.734999999999999</v>
      </c>
      <c r="Q91">
        <v>87.494</v>
      </c>
      <c r="R91">
        <v>2.855</v>
      </c>
      <c r="S91">
        <v>36.527999999999999</v>
      </c>
      <c r="T91">
        <v>10.9375</v>
      </c>
      <c r="U91">
        <v>2.5</v>
      </c>
      <c r="V91">
        <v>6</v>
      </c>
      <c r="W91">
        <v>9.9375</v>
      </c>
      <c r="X91">
        <v>61</v>
      </c>
      <c r="Y91">
        <v>1.82</v>
      </c>
      <c r="Z91">
        <v>2.6</v>
      </c>
    </row>
    <row r="92" spans="1:26" ht="15">
      <c r="A92" s="37"/>
      <c r="B92" s="39"/>
      <c r="C92" s="512" t="s">
        <v>118</v>
      </c>
      <c r="D92" s="514" t="str">
        <f>IF(E89&gt;500,"Too High, reduce GLOPU or increase plunger diameter","Good!")</f>
        <v>Good!</v>
      </c>
      <c r="E92" s="514"/>
      <c r="M92" s="24" t="s">
        <v>70</v>
      </c>
      <c r="N92" s="13">
        <v>630</v>
      </c>
      <c r="O92" s="13">
        <v>56.578000000000003</v>
      </c>
      <c r="P92" s="13">
        <v>15.885999999999999</v>
      </c>
      <c r="Q92" s="13">
        <v>122.965</v>
      </c>
      <c r="R92" s="13">
        <v>2.782</v>
      </c>
      <c r="S92" s="13">
        <v>54.055</v>
      </c>
      <c r="T92" s="13">
        <v>10.9375</v>
      </c>
      <c r="U92" s="13">
        <v>2.5</v>
      </c>
      <c r="V92" s="13">
        <v>6</v>
      </c>
      <c r="W92" s="13">
        <v>9.9375</v>
      </c>
      <c r="X92" s="13">
        <v>61</v>
      </c>
      <c r="Y92" s="13">
        <v>1.82</v>
      </c>
      <c r="Z92" s="13">
        <v>2.6</v>
      </c>
    </row>
    <row r="93" spans="1:26" ht="15">
      <c r="A93" s="46" t="s">
        <v>122</v>
      </c>
      <c r="B93" s="96">
        <f>S74*A82</f>
        <v>35.795624999999994</v>
      </c>
      <c r="C93" s="513"/>
      <c r="D93" s="514"/>
      <c r="E93" s="514"/>
      <c r="M93" s="21" t="s">
        <v>62</v>
      </c>
      <c r="N93">
        <v>537</v>
      </c>
      <c r="O93">
        <v>70.695999999999998</v>
      </c>
      <c r="P93">
        <v>12.27</v>
      </c>
      <c r="Q93">
        <v>126.072</v>
      </c>
      <c r="R93">
        <v>3.2050000000000001</v>
      </c>
      <c r="S93">
        <v>41.75</v>
      </c>
      <c r="T93">
        <v>14.375</v>
      </c>
      <c r="U93">
        <v>2.5</v>
      </c>
      <c r="V93">
        <v>6</v>
      </c>
      <c r="W93">
        <v>12.9375</v>
      </c>
      <c r="X93">
        <v>80</v>
      </c>
      <c r="Y93">
        <v>1.66</v>
      </c>
      <c r="Z93">
        <v>2.62</v>
      </c>
    </row>
    <row r="94" spans="1:26">
      <c r="E94" s="10"/>
      <c r="F94" s="10"/>
      <c r="M94" s="22" t="s">
        <v>63</v>
      </c>
      <c r="N94" s="13">
        <v>537</v>
      </c>
      <c r="O94" s="13">
        <v>70.695999999999998</v>
      </c>
      <c r="P94" s="13">
        <v>18.847000000000001</v>
      </c>
      <c r="Q94" s="13">
        <v>183.79400000000001</v>
      </c>
      <c r="R94" s="13">
        <v>3.1230000000000002</v>
      </c>
      <c r="S94" s="13">
        <v>64.132000000000005</v>
      </c>
      <c r="T94" s="13">
        <v>14.375</v>
      </c>
      <c r="U94" s="13">
        <v>2.5</v>
      </c>
      <c r="V94" s="13">
        <v>6</v>
      </c>
      <c r="W94" s="13">
        <v>12.9375</v>
      </c>
      <c r="X94" s="13">
        <v>80</v>
      </c>
      <c r="Y94" s="13">
        <v>1.66</v>
      </c>
      <c r="Z94" s="13">
        <v>2.62</v>
      </c>
    </row>
    <row r="95" spans="1:26">
      <c r="A95" s="8"/>
      <c r="B95" s="9"/>
      <c r="M95" s="21" t="s">
        <v>64</v>
      </c>
      <c r="N95">
        <v>537</v>
      </c>
      <c r="O95">
        <v>88.456000000000003</v>
      </c>
      <c r="P95">
        <v>13.656000000000001</v>
      </c>
      <c r="Q95">
        <v>177.40799999999999</v>
      </c>
      <c r="R95">
        <v>3.6040000000000001</v>
      </c>
      <c r="S95">
        <v>46.466999999999999</v>
      </c>
      <c r="T95">
        <v>14.375</v>
      </c>
      <c r="U95">
        <v>2.5</v>
      </c>
      <c r="V95">
        <v>6</v>
      </c>
      <c r="W95">
        <v>13.3125</v>
      </c>
      <c r="X95">
        <v>80</v>
      </c>
      <c r="Y95">
        <v>1.06</v>
      </c>
      <c r="Z95">
        <v>1.67</v>
      </c>
    </row>
    <row r="96" spans="1:26">
      <c r="B96" s="9"/>
      <c r="M96" s="21" t="s">
        <v>65</v>
      </c>
      <c r="N96">
        <v>537</v>
      </c>
      <c r="O96">
        <v>88.456000000000003</v>
      </c>
      <c r="P96">
        <v>16.48</v>
      </c>
      <c r="Q96">
        <v>210.39400000000001</v>
      </c>
      <c r="R96">
        <v>3.573</v>
      </c>
      <c r="S96">
        <v>56.076999999999998</v>
      </c>
      <c r="T96">
        <v>14.375</v>
      </c>
      <c r="U96">
        <v>2.5</v>
      </c>
      <c r="V96">
        <v>6</v>
      </c>
      <c r="W96">
        <v>13.3125</v>
      </c>
      <c r="X96">
        <v>80</v>
      </c>
      <c r="Y96">
        <v>1.06</v>
      </c>
      <c r="Z96">
        <v>1.67</v>
      </c>
    </row>
    <row r="97" spans="1:26">
      <c r="B97" s="9"/>
      <c r="M97" s="22" t="s">
        <v>66</v>
      </c>
      <c r="N97" s="13">
        <v>537</v>
      </c>
      <c r="O97" s="13">
        <v>88.456000000000003</v>
      </c>
      <c r="P97" s="13">
        <v>20.350999999999999</v>
      </c>
      <c r="Q97" s="13">
        <v>253.547</v>
      </c>
      <c r="R97" s="13">
        <v>3.53</v>
      </c>
      <c r="S97" s="13">
        <v>69.248999999999995</v>
      </c>
      <c r="T97" s="13">
        <v>14.375</v>
      </c>
      <c r="U97" s="13">
        <v>2.5</v>
      </c>
      <c r="V97" s="13">
        <v>6</v>
      </c>
      <c r="W97" s="13">
        <v>13.3125</v>
      </c>
      <c r="X97" s="13">
        <v>80</v>
      </c>
      <c r="Y97" s="13">
        <v>1.06</v>
      </c>
      <c r="Z97" s="13">
        <v>1.67</v>
      </c>
    </row>
    <row r="98" spans="1:26">
      <c r="M98" s="21" t="s">
        <v>67</v>
      </c>
      <c r="N98">
        <v>449</v>
      </c>
      <c r="O98">
        <v>124.937</v>
      </c>
      <c r="P98">
        <v>16.503</v>
      </c>
      <c r="Q98">
        <v>306.48500000000001</v>
      </c>
      <c r="R98">
        <v>4.3090000000000002</v>
      </c>
      <c r="S98">
        <v>56.155999999999999</v>
      </c>
      <c r="T98">
        <v>0</v>
      </c>
      <c r="U98">
        <v>2.5</v>
      </c>
      <c r="V98">
        <v>6</v>
      </c>
      <c r="W98">
        <v>15.3125</v>
      </c>
      <c r="X98">
        <v>125</v>
      </c>
      <c r="Y98">
        <v>0.83899999999999997</v>
      </c>
      <c r="Z98">
        <v>0</v>
      </c>
    </row>
    <row r="99" spans="1:26">
      <c r="M99" s="22" t="s">
        <v>68</v>
      </c>
      <c r="N99" s="13">
        <v>449</v>
      </c>
      <c r="O99" s="13">
        <v>124.937</v>
      </c>
      <c r="P99" s="13">
        <v>18.78</v>
      </c>
      <c r="Q99" s="13">
        <v>345.36099999999999</v>
      </c>
      <c r="R99" s="13">
        <v>4.2880000000000003</v>
      </c>
      <c r="S99" s="13">
        <v>63.902999999999999</v>
      </c>
      <c r="T99" s="13">
        <v>0</v>
      </c>
      <c r="U99" s="13">
        <v>2.5</v>
      </c>
      <c r="V99" s="13">
        <v>6</v>
      </c>
      <c r="W99" s="13">
        <v>15.3125</v>
      </c>
      <c r="X99" s="13">
        <v>125</v>
      </c>
      <c r="Y99" s="13">
        <v>0.83899999999999997</v>
      </c>
      <c r="Z99" s="13">
        <v>0</v>
      </c>
    </row>
    <row r="100" spans="1:26">
      <c r="M100" s="22" t="s">
        <v>69</v>
      </c>
      <c r="N100" s="14">
        <v>449</v>
      </c>
      <c r="O100" s="14">
        <v>194.51900000000001</v>
      </c>
      <c r="P100" s="14">
        <v>25.079000000000001</v>
      </c>
      <c r="Q100" s="14">
        <v>726.36</v>
      </c>
      <c r="R100" s="14">
        <v>5.3819999999999997</v>
      </c>
      <c r="S100" s="14">
        <v>85.337000000000003</v>
      </c>
      <c r="T100" s="14">
        <v>0</v>
      </c>
      <c r="U100" s="14">
        <v>6</v>
      </c>
      <c r="V100" s="14">
        <v>6</v>
      </c>
      <c r="W100" s="14">
        <v>15.375</v>
      </c>
      <c r="X100" s="14">
        <v>192</v>
      </c>
      <c r="Y100" s="14">
        <v>0.54300000000000004</v>
      </c>
      <c r="Z100" s="14">
        <v>0</v>
      </c>
    </row>
    <row r="103" spans="1:26" ht="12.75">
      <c r="A103" s="3"/>
      <c r="B103" s="15"/>
      <c r="C103" s="16"/>
      <c r="D103" s="16"/>
      <c r="E103" s="16"/>
      <c r="F103" s="16"/>
      <c r="G103" s="20"/>
      <c r="H103" s="4" t="s">
        <v>1</v>
      </c>
      <c r="J103" s="4" t="s">
        <v>2</v>
      </c>
      <c r="M103" s="4" t="s">
        <v>3</v>
      </c>
    </row>
    <row r="104" spans="1:26" ht="12.75">
      <c r="A104" s="1"/>
      <c r="B104" s="1"/>
      <c r="C104" s="1"/>
      <c r="D104" s="1"/>
      <c r="E104" s="1"/>
      <c r="F104" s="1"/>
      <c r="G104" s="1"/>
      <c r="J104" s="5">
        <f>2.85*10^8</f>
        <v>285000000</v>
      </c>
      <c r="K104" s="4" t="s">
        <v>4</v>
      </c>
      <c r="N104" s="4" t="s">
        <v>5</v>
      </c>
      <c r="O104" s="6" t="s">
        <v>6</v>
      </c>
      <c r="P104" s="6" t="s">
        <v>7</v>
      </c>
      <c r="Q104" s="6" t="s">
        <v>8</v>
      </c>
      <c r="R104" s="6" t="s">
        <v>9</v>
      </c>
      <c r="S104" s="6" t="s">
        <v>10</v>
      </c>
      <c r="T104" s="6" t="s">
        <v>11</v>
      </c>
      <c r="U104" s="6" t="s">
        <v>11</v>
      </c>
      <c r="V104" s="6" t="s">
        <v>11</v>
      </c>
      <c r="W104" s="6" t="s">
        <v>11</v>
      </c>
      <c r="X104" s="6" t="s">
        <v>12</v>
      </c>
      <c r="Y104" s="520" t="s">
        <v>13</v>
      </c>
      <c r="Z104" s="520"/>
    </row>
    <row r="105" spans="1:26" ht="12.75">
      <c r="A105" s="1"/>
      <c r="B105" s="1"/>
      <c r="C105" s="1"/>
      <c r="D105" s="1"/>
      <c r="E105" s="1"/>
      <c r="F105" s="1"/>
      <c r="G105" s="1"/>
      <c r="J105">
        <f>VLOOKUP(A106,M103:Z133,4,FALSE)</f>
        <v>5.5170000000000003</v>
      </c>
      <c r="K105" s="4" t="s">
        <v>14</v>
      </c>
      <c r="M105" s="4" t="s">
        <v>15</v>
      </c>
      <c r="N105" s="4" t="s">
        <v>16</v>
      </c>
      <c r="O105" s="6" t="s">
        <v>17</v>
      </c>
      <c r="P105" s="6" t="s">
        <v>17</v>
      </c>
      <c r="Q105" s="6" t="s">
        <v>18</v>
      </c>
      <c r="R105" s="6" t="s">
        <v>19</v>
      </c>
      <c r="S105" s="6" t="s">
        <v>20</v>
      </c>
      <c r="T105" s="6" t="s">
        <v>21</v>
      </c>
      <c r="U105" s="6" t="s">
        <v>22</v>
      </c>
      <c r="V105" s="6" t="s">
        <v>23</v>
      </c>
      <c r="W105" s="6" t="s">
        <v>24</v>
      </c>
      <c r="Y105" s="6" t="s">
        <v>25</v>
      </c>
      <c r="Z105" s="4" t="s">
        <v>26</v>
      </c>
    </row>
    <row r="106" spans="1:26" ht="12.75">
      <c r="A106" s="11" t="s">
        <v>39</v>
      </c>
      <c r="B106" s="3" t="s">
        <v>28</v>
      </c>
      <c r="C106" s="7"/>
      <c r="D106" s="7"/>
      <c r="E106" s="7"/>
      <c r="F106" s="7"/>
      <c r="G106" s="3" t="s">
        <v>1</v>
      </c>
      <c r="J106">
        <f>(A109)</f>
        <v>0</v>
      </c>
      <c r="K106" s="4" t="s">
        <v>29</v>
      </c>
      <c r="M106" s="21" t="s">
        <v>30</v>
      </c>
      <c r="N106">
        <v>492</v>
      </c>
      <c r="O106">
        <v>11.781000000000001</v>
      </c>
      <c r="P106">
        <v>2.8980000000000001</v>
      </c>
      <c r="Q106">
        <v>4.766</v>
      </c>
      <c r="R106">
        <v>1.282</v>
      </c>
      <c r="S106">
        <v>9.8620000000000001</v>
      </c>
      <c r="T106">
        <v>0</v>
      </c>
      <c r="U106">
        <v>3</v>
      </c>
      <c r="V106">
        <v>6.75</v>
      </c>
      <c r="W106">
        <v>9.375</v>
      </c>
      <c r="X106">
        <v>22</v>
      </c>
      <c r="Y106">
        <v>10.47</v>
      </c>
      <c r="Z106">
        <v>0</v>
      </c>
    </row>
    <row r="107" spans="1:26" ht="12.75">
      <c r="A107" s="319">
        <f>'Estimating Form'!$D$18/12+L956</f>
        <v>1.3333333333333333</v>
      </c>
      <c r="B107" s="3" t="s">
        <v>31</v>
      </c>
      <c r="C107" s="7"/>
      <c r="D107" s="7"/>
      <c r="E107" s="7"/>
      <c r="F107" s="7"/>
      <c r="G107" s="7"/>
      <c r="J107">
        <f>VLOOKUP(A106,M103:Z134,7,FALSE)</f>
        <v>18.771999999999998</v>
      </c>
      <c r="K107" s="4" t="s">
        <v>32</v>
      </c>
      <c r="M107" s="22" t="s">
        <v>33</v>
      </c>
      <c r="N107" s="13">
        <v>492</v>
      </c>
      <c r="O107" s="13">
        <v>11.781000000000001</v>
      </c>
      <c r="P107" s="13">
        <v>5.94</v>
      </c>
      <c r="Q107" s="13">
        <v>8.33</v>
      </c>
      <c r="R107" s="13">
        <v>1.1839999999999999</v>
      </c>
      <c r="S107" s="13">
        <v>20.213999999999999</v>
      </c>
      <c r="T107" s="13">
        <v>0</v>
      </c>
      <c r="U107" s="13">
        <v>3</v>
      </c>
      <c r="V107" s="13">
        <v>6.75</v>
      </c>
      <c r="W107" s="13">
        <v>9.375</v>
      </c>
      <c r="X107" s="13">
        <v>22</v>
      </c>
      <c r="Y107" s="13">
        <v>10.47</v>
      </c>
      <c r="Z107" s="13">
        <v>0</v>
      </c>
    </row>
    <row r="108" spans="1:26" ht="12.75">
      <c r="A108" s="11">
        <v>0</v>
      </c>
      <c r="B108" s="3" t="s">
        <v>34</v>
      </c>
      <c r="C108" s="7"/>
      <c r="D108" s="7"/>
      <c r="E108" s="7"/>
      <c r="F108" s="7"/>
      <c r="G108" s="7"/>
      <c r="J108">
        <f>VLOOKUP(A106,M103:Z133,6,FALSE)</f>
        <v>1.3919999999999999</v>
      </c>
      <c r="K108" s="4" t="s">
        <v>35</v>
      </c>
      <c r="M108" s="21" t="s">
        <v>36</v>
      </c>
      <c r="N108">
        <v>594</v>
      </c>
      <c r="O108">
        <v>14.93</v>
      </c>
      <c r="P108">
        <v>3.3490000000000002</v>
      </c>
      <c r="Q108">
        <v>7.0650000000000004</v>
      </c>
      <c r="R108">
        <v>1.452</v>
      </c>
      <c r="S108">
        <v>11.396000000000001</v>
      </c>
      <c r="T108">
        <v>9.3125</v>
      </c>
      <c r="U108">
        <v>3</v>
      </c>
      <c r="V108">
        <v>5.5</v>
      </c>
      <c r="W108">
        <v>8.8125</v>
      </c>
      <c r="X108">
        <v>29</v>
      </c>
      <c r="Y108">
        <v>9.52</v>
      </c>
      <c r="Z108">
        <v>16.670000000000002</v>
      </c>
    </row>
    <row r="109" spans="1:26" ht="12.75">
      <c r="A109" s="11">
        <f>'Estimating Form'!$G$22</f>
        <v>0</v>
      </c>
      <c r="B109" s="3" t="s">
        <v>37</v>
      </c>
      <c r="C109" s="7"/>
      <c r="D109" s="7"/>
      <c r="E109" s="7"/>
      <c r="F109" s="7"/>
      <c r="G109" s="7"/>
      <c r="J109">
        <f>(A107*12+A108)</f>
        <v>16</v>
      </c>
      <c r="K109" s="4" t="s">
        <v>38</v>
      </c>
      <c r="M109" s="21" t="s">
        <v>39</v>
      </c>
      <c r="N109">
        <v>594</v>
      </c>
      <c r="O109">
        <v>14.93</v>
      </c>
      <c r="P109">
        <v>5.5170000000000003</v>
      </c>
      <c r="Q109">
        <v>10.686999999999999</v>
      </c>
      <c r="R109">
        <v>1.3919999999999999</v>
      </c>
      <c r="S109">
        <v>18.771999999999998</v>
      </c>
      <c r="T109">
        <v>9.3125</v>
      </c>
      <c r="U109">
        <v>3</v>
      </c>
      <c r="V109">
        <v>5.5</v>
      </c>
      <c r="W109">
        <v>8.8125</v>
      </c>
      <c r="X109">
        <v>29</v>
      </c>
      <c r="Y109">
        <v>9.52</v>
      </c>
      <c r="Z109">
        <v>16.670000000000002</v>
      </c>
    </row>
    <row r="110" spans="1:26" ht="12.75">
      <c r="A110" s="11">
        <f>'Estimating Form'!$D$20</f>
        <v>0</v>
      </c>
      <c r="B110" s="3" t="s">
        <v>40</v>
      </c>
      <c r="C110" s="7"/>
      <c r="D110" s="7"/>
      <c r="E110" s="7"/>
      <c r="F110" s="7"/>
      <c r="G110" s="7"/>
      <c r="J110">
        <f>(A107+A108/12)</f>
        <v>1.3333333333333333</v>
      </c>
      <c r="K110" s="4" t="s">
        <v>41</v>
      </c>
      <c r="M110" s="22" t="s">
        <v>42</v>
      </c>
      <c r="N110" s="13">
        <v>594</v>
      </c>
      <c r="O110" s="13">
        <v>14.93</v>
      </c>
      <c r="P110" s="13">
        <v>7.1269999999999998</v>
      </c>
      <c r="Q110" s="13">
        <v>12.893000000000001</v>
      </c>
      <c r="R110" s="13">
        <v>1.345</v>
      </c>
      <c r="S110" s="13">
        <v>24.251999999999999</v>
      </c>
      <c r="T110" s="13">
        <v>9.3125</v>
      </c>
      <c r="U110" s="13">
        <v>3</v>
      </c>
      <c r="V110" s="13">
        <v>5.5</v>
      </c>
      <c r="W110" s="13">
        <v>8.8125</v>
      </c>
      <c r="X110" s="13">
        <v>29</v>
      </c>
      <c r="Y110" s="13">
        <v>9.52</v>
      </c>
      <c r="Z110" s="13">
        <v>16.670000000000002</v>
      </c>
    </row>
    <row r="111" spans="1:26" ht="12.75">
      <c r="A111" s="11">
        <v>0</v>
      </c>
      <c r="B111" s="3" t="s">
        <v>43</v>
      </c>
      <c r="C111" s="7"/>
      <c r="D111" s="7"/>
      <c r="E111" s="7"/>
      <c r="F111" s="7"/>
      <c r="G111" s="7"/>
      <c r="M111" s="21" t="s">
        <v>44</v>
      </c>
      <c r="N111">
        <v>630</v>
      </c>
      <c r="O111">
        <v>23.114999999999998</v>
      </c>
      <c r="P111">
        <v>4.8</v>
      </c>
      <c r="Q111">
        <v>15.824999999999999</v>
      </c>
      <c r="R111">
        <v>1.8160000000000001</v>
      </c>
      <c r="S111">
        <v>16.332999999999998</v>
      </c>
      <c r="T111">
        <v>9.75</v>
      </c>
      <c r="U111">
        <v>3</v>
      </c>
      <c r="V111">
        <v>5.5</v>
      </c>
      <c r="W111">
        <v>9.1875</v>
      </c>
      <c r="X111">
        <v>43</v>
      </c>
      <c r="Y111">
        <v>6.95</v>
      </c>
      <c r="Z111">
        <v>10.9</v>
      </c>
    </row>
    <row r="112" spans="1:26" ht="12.75">
      <c r="A112" s="7"/>
      <c r="B112" s="7"/>
      <c r="C112" s="7"/>
      <c r="D112" s="7"/>
      <c r="E112" s="7"/>
      <c r="F112" s="7"/>
      <c r="G112" s="7"/>
      <c r="J112">
        <f>(J104*J105/(J106+(J107*J110/2)))*(J108/J109)^2</f>
        <v>950970.53896761138</v>
      </c>
      <c r="M112" s="21" t="s">
        <v>45</v>
      </c>
      <c r="N112">
        <v>630</v>
      </c>
      <c r="O112">
        <v>23.114999999999998</v>
      </c>
      <c r="P112">
        <v>6.59</v>
      </c>
      <c r="Q112">
        <v>20.786000000000001</v>
      </c>
      <c r="R112">
        <v>1.776</v>
      </c>
      <c r="S112">
        <v>22.422000000000001</v>
      </c>
      <c r="T112">
        <v>9.75</v>
      </c>
      <c r="U112">
        <v>3</v>
      </c>
      <c r="V112">
        <v>5.5</v>
      </c>
      <c r="W112">
        <v>9.1875</v>
      </c>
      <c r="X112">
        <v>43</v>
      </c>
      <c r="Y112">
        <v>6.95</v>
      </c>
      <c r="Z112">
        <v>10.9</v>
      </c>
    </row>
    <row r="113" spans="1:26" ht="12.75">
      <c r="A113" s="12">
        <f>(J112)</f>
        <v>950970.53896761138</v>
      </c>
      <c r="B113" s="3" t="s">
        <v>46</v>
      </c>
      <c r="C113" s="7"/>
      <c r="D113" s="7"/>
      <c r="E113" s="7"/>
      <c r="F113" s="7"/>
      <c r="G113" s="7"/>
      <c r="M113" s="21" t="s">
        <v>47</v>
      </c>
      <c r="N113">
        <v>630</v>
      </c>
      <c r="O113">
        <v>23.114999999999998</v>
      </c>
      <c r="P113">
        <v>8.5050000000000008</v>
      </c>
      <c r="Q113">
        <v>25.532</v>
      </c>
      <c r="R113">
        <v>1.7330000000000001</v>
      </c>
      <c r="S113">
        <v>28.94</v>
      </c>
      <c r="T113">
        <v>9.75</v>
      </c>
      <c r="U113">
        <v>3</v>
      </c>
      <c r="V113">
        <v>5.5</v>
      </c>
      <c r="W113">
        <v>9.1875</v>
      </c>
      <c r="X113">
        <v>43</v>
      </c>
      <c r="Y113">
        <v>6.95</v>
      </c>
      <c r="Z113">
        <v>10.9</v>
      </c>
    </row>
    <row r="114" spans="1:26" ht="12.75">
      <c r="A114" s="12">
        <f>(J118)</f>
        <v>0</v>
      </c>
      <c r="B114" s="3" t="s">
        <v>48</v>
      </c>
      <c r="C114" s="7"/>
      <c r="D114" s="7"/>
      <c r="E114" s="7"/>
      <c r="F114" s="7"/>
      <c r="G114" s="7"/>
      <c r="J114" s="4" t="s">
        <v>49</v>
      </c>
      <c r="M114" s="22" t="s">
        <v>50</v>
      </c>
      <c r="N114" s="13">
        <v>234</v>
      </c>
      <c r="O114" s="13">
        <v>23.114999999999998</v>
      </c>
      <c r="P114" s="13">
        <v>10.148999999999999</v>
      </c>
      <c r="Q114" s="13">
        <v>29.140999999999998</v>
      </c>
      <c r="R114" s="13">
        <v>1.694</v>
      </c>
      <c r="S114" s="13">
        <v>34.436</v>
      </c>
      <c r="T114" s="13">
        <v>9.75</v>
      </c>
      <c r="U114" s="13">
        <v>3</v>
      </c>
      <c r="V114" s="13">
        <v>5.5</v>
      </c>
      <c r="W114" s="13">
        <v>9.1875</v>
      </c>
      <c r="X114" s="13">
        <v>43</v>
      </c>
      <c r="Y114" s="13">
        <v>6.95</v>
      </c>
      <c r="Z114" s="13">
        <v>10.9</v>
      </c>
    </row>
    <row r="115" spans="1:26" ht="12.75">
      <c r="A115" s="11">
        <f>'Estimating Form'!$D$18/12+L957</f>
        <v>1.7708333333333333</v>
      </c>
      <c r="B115" s="3" t="s">
        <v>957</v>
      </c>
      <c r="J115">
        <f>VLOOKUP(A106,M103:Z133,IF(A111=1,13,12)+1,FALSE)</f>
        <v>9.52</v>
      </c>
      <c r="K115" s="4" t="s">
        <v>51</v>
      </c>
      <c r="M115" s="21" t="s">
        <v>27</v>
      </c>
      <c r="N115">
        <v>630</v>
      </c>
      <c r="O115">
        <v>33.03</v>
      </c>
      <c r="P115">
        <v>5.9219999999999997</v>
      </c>
      <c r="Q115">
        <v>28.338999999999999</v>
      </c>
      <c r="R115">
        <v>2.1880000000000002</v>
      </c>
      <c r="S115">
        <v>20.149999999999999</v>
      </c>
      <c r="T115">
        <v>9.75</v>
      </c>
      <c r="U115">
        <v>3</v>
      </c>
      <c r="V115">
        <v>5.5</v>
      </c>
      <c r="W115">
        <v>9.1875</v>
      </c>
      <c r="X115">
        <v>43</v>
      </c>
      <c r="Y115">
        <v>3.41</v>
      </c>
      <c r="Z115">
        <v>5.34</v>
      </c>
    </row>
    <row r="116" spans="1:26">
      <c r="A116" s="8"/>
      <c r="B116" s="4"/>
      <c r="J116">
        <f>(A110)</f>
        <v>0</v>
      </c>
      <c r="K116" s="4" t="s">
        <v>52</v>
      </c>
      <c r="M116" s="21" t="s">
        <v>53</v>
      </c>
      <c r="N116">
        <v>630</v>
      </c>
      <c r="O116">
        <v>33.03</v>
      </c>
      <c r="P116">
        <v>9.2799999999999994</v>
      </c>
      <c r="Q116">
        <v>41.933</v>
      </c>
      <c r="R116">
        <v>2.1259999999999999</v>
      </c>
      <c r="S116">
        <v>31.579000000000001</v>
      </c>
      <c r="T116">
        <v>9.75</v>
      </c>
      <c r="U116">
        <v>3</v>
      </c>
      <c r="V116">
        <v>5.5</v>
      </c>
      <c r="W116">
        <v>9.1875</v>
      </c>
      <c r="X116">
        <v>43</v>
      </c>
      <c r="Y116">
        <v>3.41</v>
      </c>
      <c r="Z116">
        <v>5.34</v>
      </c>
    </row>
    <row r="117" spans="1:26">
      <c r="A117" s="8"/>
      <c r="B117" s="9"/>
      <c r="M117" s="21" t="s">
        <v>54</v>
      </c>
      <c r="N117">
        <v>630</v>
      </c>
      <c r="O117">
        <v>33.03</v>
      </c>
      <c r="P117">
        <v>11.898999999999999</v>
      </c>
      <c r="Q117">
        <v>51.284999999999997</v>
      </c>
      <c r="R117">
        <v>2.0760000000000001</v>
      </c>
      <c r="S117">
        <v>40.488999999999997</v>
      </c>
      <c r="T117">
        <v>9.75</v>
      </c>
      <c r="U117">
        <v>3</v>
      </c>
      <c r="V117">
        <v>5.5</v>
      </c>
      <c r="W117">
        <v>9.1875</v>
      </c>
      <c r="X117">
        <v>43</v>
      </c>
      <c r="Y117">
        <v>3.41</v>
      </c>
      <c r="Z117">
        <v>5.34</v>
      </c>
    </row>
    <row r="118" spans="1:26">
      <c r="A118" s="8"/>
      <c r="B118" s="9"/>
      <c r="J118">
        <f>(J115*(J110+4)*J116*10^-6)</f>
        <v>0</v>
      </c>
      <c r="M118" s="22" t="s">
        <v>55</v>
      </c>
      <c r="N118" s="13">
        <v>630</v>
      </c>
      <c r="O118" s="13">
        <v>33.03</v>
      </c>
      <c r="P118" s="13">
        <v>14.196</v>
      </c>
      <c r="Q118" s="13">
        <v>58.588999999999999</v>
      </c>
      <c r="R118" s="13">
        <v>2.032</v>
      </c>
      <c r="S118" s="13">
        <v>48.304000000000002</v>
      </c>
      <c r="T118" s="13">
        <v>9.75</v>
      </c>
      <c r="U118" s="13">
        <v>3</v>
      </c>
      <c r="V118" s="13">
        <v>5.5</v>
      </c>
      <c r="W118" s="13">
        <v>9.1875</v>
      </c>
      <c r="X118" s="13">
        <v>43</v>
      </c>
      <c r="Y118" s="13">
        <v>3.41</v>
      </c>
      <c r="Z118" s="13">
        <v>5.34</v>
      </c>
    </row>
    <row r="119" spans="1:26">
      <c r="A119" s="8"/>
      <c r="M119" s="21" t="s">
        <v>56</v>
      </c>
      <c r="N119">
        <v>630</v>
      </c>
      <c r="O119">
        <v>44.031999999999996</v>
      </c>
      <c r="P119">
        <v>8.109</v>
      </c>
      <c r="Q119">
        <v>51.593000000000004</v>
      </c>
      <c r="R119">
        <v>2.5219999999999998</v>
      </c>
      <c r="S119">
        <v>27.591999999999999</v>
      </c>
      <c r="T119">
        <v>10.9375</v>
      </c>
      <c r="U119">
        <v>2.5</v>
      </c>
      <c r="V119">
        <v>6</v>
      </c>
      <c r="W119">
        <v>9.9375</v>
      </c>
      <c r="X119">
        <v>61</v>
      </c>
      <c r="Y119">
        <v>3</v>
      </c>
      <c r="Z119">
        <v>4.29</v>
      </c>
    </row>
    <row r="120" spans="1:26">
      <c r="A120" s="8"/>
      <c r="B120" s="9"/>
      <c r="M120" s="21" t="s">
        <v>57</v>
      </c>
      <c r="N120">
        <v>630</v>
      </c>
      <c r="O120">
        <v>44.031999999999996</v>
      </c>
      <c r="P120">
        <v>9.4350000000000005</v>
      </c>
      <c r="Q120">
        <v>59.033999999999999</v>
      </c>
      <c r="R120">
        <v>2.5009999999999999</v>
      </c>
      <c r="S120">
        <v>32.103999999999999</v>
      </c>
      <c r="T120">
        <v>10.9375</v>
      </c>
      <c r="U120">
        <v>2.5</v>
      </c>
      <c r="V120">
        <v>6</v>
      </c>
      <c r="W120">
        <v>9.9375</v>
      </c>
      <c r="X120">
        <v>61</v>
      </c>
      <c r="Y120">
        <v>3</v>
      </c>
      <c r="Z120">
        <v>4.29</v>
      </c>
    </row>
    <row r="121" spans="1:26" ht="15.75">
      <c r="A121" s="37"/>
      <c r="B121" s="97"/>
      <c r="C121" s="515" t="s">
        <v>93</v>
      </c>
      <c r="D121" s="515"/>
      <c r="E121" s="40">
        <f>(B122-A110)/(O109)-(0.39*A107)</f>
        <v>1.8775636302746146</v>
      </c>
      <c r="M121" s="23" t="s">
        <v>59</v>
      </c>
      <c r="N121">
        <v>630</v>
      </c>
      <c r="O121">
        <v>44.031999999999996</v>
      </c>
      <c r="P121">
        <v>14.49</v>
      </c>
      <c r="Q121">
        <v>84.834000000000003</v>
      </c>
      <c r="R121">
        <v>2.42</v>
      </c>
      <c r="S121">
        <v>49.305</v>
      </c>
      <c r="T121">
        <v>10.9375</v>
      </c>
      <c r="U121">
        <v>2.5</v>
      </c>
      <c r="V121">
        <v>6</v>
      </c>
      <c r="W121">
        <v>9.9375</v>
      </c>
      <c r="X121">
        <v>61</v>
      </c>
      <c r="Y121">
        <v>3</v>
      </c>
      <c r="Z121">
        <v>4.29</v>
      </c>
    </row>
    <row r="122" spans="1:26" ht="15.75">
      <c r="A122" s="37" t="s">
        <v>98</v>
      </c>
      <c r="B122" s="41">
        <f>A109+B126</f>
        <v>35.795624999999994</v>
      </c>
      <c r="C122" s="516" t="s">
        <v>99</v>
      </c>
      <c r="D122" s="516"/>
      <c r="E122" s="42">
        <f>((B122/(O109))*1.1)</f>
        <v>2.6373199933020763</v>
      </c>
      <c r="M122" s="24" t="s">
        <v>58</v>
      </c>
      <c r="N122" s="13">
        <v>630</v>
      </c>
      <c r="O122" s="13">
        <v>44.031999999999996</v>
      </c>
      <c r="P122" s="13">
        <v>19.181000000000001</v>
      </c>
      <c r="Q122" s="13">
        <v>105.14</v>
      </c>
      <c r="R122" s="13">
        <v>2.3410000000000002</v>
      </c>
      <c r="S122" s="13">
        <v>65.268000000000001</v>
      </c>
      <c r="T122" s="13">
        <v>10.9375</v>
      </c>
      <c r="U122" s="13">
        <v>2.5</v>
      </c>
      <c r="V122" s="13">
        <v>6</v>
      </c>
      <c r="W122" s="13">
        <v>9.9375</v>
      </c>
      <c r="X122" s="13">
        <v>61</v>
      </c>
      <c r="Y122" s="13">
        <v>3</v>
      </c>
      <c r="Z122" s="13">
        <v>4.29</v>
      </c>
    </row>
    <row r="123" spans="1:26" ht="15">
      <c r="A123" s="37"/>
      <c r="B123" s="38"/>
      <c r="C123" s="517" t="s">
        <v>106</v>
      </c>
      <c r="D123" s="514" t="str">
        <f>IF(E121&gt;90,"Good!","Too Low, increase GLOPU or decrease jack diameter, if above 50 use ASK ENGINEERING")</f>
        <v>Too Low, increase GLOPU or decrease jack diameter, if above 50 use ASK ENGINEERING</v>
      </c>
      <c r="E123" s="514"/>
      <c r="F123" s="10"/>
      <c r="M123" s="21" t="s">
        <v>60</v>
      </c>
      <c r="N123">
        <v>630</v>
      </c>
      <c r="O123">
        <v>56.578000000000003</v>
      </c>
      <c r="P123">
        <v>9.2829999999999995</v>
      </c>
      <c r="Q123">
        <v>76.736999999999995</v>
      </c>
      <c r="R123">
        <v>2.875</v>
      </c>
      <c r="S123">
        <v>31.588999999999999</v>
      </c>
      <c r="T123">
        <v>10.9375</v>
      </c>
      <c r="U123">
        <v>2.5</v>
      </c>
      <c r="V123">
        <v>6</v>
      </c>
      <c r="W123">
        <v>9.9375</v>
      </c>
      <c r="X123">
        <v>61</v>
      </c>
      <c r="Y123">
        <v>1.82</v>
      </c>
      <c r="Z123">
        <v>2.6</v>
      </c>
    </row>
    <row r="124" spans="1:26" ht="15.75" thickBot="1">
      <c r="A124" s="37"/>
      <c r="B124" s="44"/>
      <c r="C124" s="518"/>
      <c r="D124" s="519"/>
      <c r="E124" s="519"/>
      <c r="M124" s="21" t="s">
        <v>61</v>
      </c>
      <c r="N124">
        <v>630</v>
      </c>
      <c r="O124">
        <v>56.578000000000003</v>
      </c>
      <c r="P124">
        <v>10.734999999999999</v>
      </c>
      <c r="Q124">
        <v>87.494</v>
      </c>
      <c r="R124">
        <v>2.855</v>
      </c>
      <c r="S124">
        <v>36.527999999999999</v>
      </c>
      <c r="T124">
        <v>10.9375</v>
      </c>
      <c r="U124">
        <v>2.5</v>
      </c>
      <c r="V124">
        <v>6</v>
      </c>
      <c r="W124">
        <v>9.9375</v>
      </c>
      <c r="X124">
        <v>61</v>
      </c>
      <c r="Y124">
        <v>1.82</v>
      </c>
      <c r="Z124">
        <v>2.6</v>
      </c>
    </row>
    <row r="125" spans="1:26" ht="15">
      <c r="A125" s="37"/>
      <c r="B125" s="39"/>
      <c r="C125" s="512" t="s">
        <v>118</v>
      </c>
      <c r="D125" s="514" t="str">
        <f>IF(E122&gt;500,"Too High, reduce GLOPU or increase plunger diameter","Good!")</f>
        <v>Good!</v>
      </c>
      <c r="E125" s="514"/>
      <c r="M125" s="24" t="s">
        <v>70</v>
      </c>
      <c r="N125" s="13">
        <v>630</v>
      </c>
      <c r="O125" s="13">
        <v>56.578000000000003</v>
      </c>
      <c r="P125" s="13">
        <v>15.885999999999999</v>
      </c>
      <c r="Q125" s="13">
        <v>122.965</v>
      </c>
      <c r="R125" s="13">
        <v>2.782</v>
      </c>
      <c r="S125" s="13">
        <v>54.055</v>
      </c>
      <c r="T125" s="13">
        <v>10.9375</v>
      </c>
      <c r="U125" s="13">
        <v>2.5</v>
      </c>
      <c r="V125" s="13">
        <v>6</v>
      </c>
      <c r="W125" s="13">
        <v>9.9375</v>
      </c>
      <c r="X125" s="13">
        <v>61</v>
      </c>
      <c r="Y125" s="13">
        <v>1.82</v>
      </c>
      <c r="Z125" s="13">
        <v>2.6</v>
      </c>
    </row>
    <row r="126" spans="1:26" ht="15">
      <c r="A126" s="46" t="s">
        <v>122</v>
      </c>
      <c r="B126" s="96">
        <f>S107*A115</f>
        <v>35.795624999999994</v>
      </c>
      <c r="C126" s="513"/>
      <c r="D126" s="514"/>
      <c r="E126" s="514"/>
      <c r="M126" s="21" t="s">
        <v>62</v>
      </c>
      <c r="N126">
        <v>537</v>
      </c>
      <c r="O126">
        <v>70.695999999999998</v>
      </c>
      <c r="P126">
        <v>12.27</v>
      </c>
      <c r="Q126">
        <v>126.072</v>
      </c>
      <c r="R126">
        <v>3.2050000000000001</v>
      </c>
      <c r="S126">
        <v>41.75</v>
      </c>
      <c r="T126">
        <v>14.375</v>
      </c>
      <c r="U126">
        <v>2.5</v>
      </c>
      <c r="V126">
        <v>6</v>
      </c>
      <c r="W126">
        <v>12.9375</v>
      </c>
      <c r="X126">
        <v>80</v>
      </c>
      <c r="Y126">
        <v>1.66</v>
      </c>
      <c r="Z126">
        <v>2.62</v>
      </c>
    </row>
    <row r="127" spans="1:26">
      <c r="E127" s="10"/>
      <c r="F127" s="10"/>
      <c r="M127" s="22" t="s">
        <v>63</v>
      </c>
      <c r="N127" s="13">
        <v>537</v>
      </c>
      <c r="O127" s="13">
        <v>70.695999999999998</v>
      </c>
      <c r="P127" s="13">
        <v>18.847000000000001</v>
      </c>
      <c r="Q127" s="13">
        <v>183.79400000000001</v>
      </c>
      <c r="R127" s="13">
        <v>3.1230000000000002</v>
      </c>
      <c r="S127" s="13">
        <v>64.132000000000005</v>
      </c>
      <c r="T127" s="13">
        <v>14.375</v>
      </c>
      <c r="U127" s="13">
        <v>2.5</v>
      </c>
      <c r="V127" s="13">
        <v>6</v>
      </c>
      <c r="W127" s="13">
        <v>12.9375</v>
      </c>
      <c r="X127" s="13">
        <v>80</v>
      </c>
      <c r="Y127" s="13">
        <v>1.66</v>
      </c>
      <c r="Z127" s="13">
        <v>2.62</v>
      </c>
    </row>
    <row r="128" spans="1:26">
      <c r="A128" s="8"/>
      <c r="B128" s="9"/>
      <c r="M128" s="21" t="s">
        <v>64</v>
      </c>
      <c r="N128">
        <v>537</v>
      </c>
      <c r="O128">
        <v>88.456000000000003</v>
      </c>
      <c r="P128">
        <v>13.656000000000001</v>
      </c>
      <c r="Q128">
        <v>177.40799999999999</v>
      </c>
      <c r="R128">
        <v>3.6040000000000001</v>
      </c>
      <c r="S128">
        <v>46.466999999999999</v>
      </c>
      <c r="T128">
        <v>14.375</v>
      </c>
      <c r="U128">
        <v>2.5</v>
      </c>
      <c r="V128">
        <v>6</v>
      </c>
      <c r="W128">
        <v>13.3125</v>
      </c>
      <c r="X128">
        <v>80</v>
      </c>
      <c r="Y128">
        <v>1.06</v>
      </c>
      <c r="Z128">
        <v>1.67</v>
      </c>
    </row>
    <row r="129" spans="1:26">
      <c r="B129" s="9"/>
      <c r="M129" s="21" t="s">
        <v>65</v>
      </c>
      <c r="N129">
        <v>537</v>
      </c>
      <c r="O129">
        <v>88.456000000000003</v>
      </c>
      <c r="P129">
        <v>16.48</v>
      </c>
      <c r="Q129">
        <v>210.39400000000001</v>
      </c>
      <c r="R129">
        <v>3.573</v>
      </c>
      <c r="S129">
        <v>56.076999999999998</v>
      </c>
      <c r="T129">
        <v>14.375</v>
      </c>
      <c r="U129">
        <v>2.5</v>
      </c>
      <c r="V129">
        <v>6</v>
      </c>
      <c r="W129">
        <v>13.3125</v>
      </c>
      <c r="X129">
        <v>80</v>
      </c>
      <c r="Y129">
        <v>1.06</v>
      </c>
      <c r="Z129">
        <v>1.67</v>
      </c>
    </row>
    <row r="130" spans="1:26">
      <c r="B130" s="9"/>
      <c r="M130" s="22" t="s">
        <v>66</v>
      </c>
      <c r="N130" s="13">
        <v>537</v>
      </c>
      <c r="O130" s="13">
        <v>88.456000000000003</v>
      </c>
      <c r="P130" s="13">
        <v>20.350999999999999</v>
      </c>
      <c r="Q130" s="13">
        <v>253.547</v>
      </c>
      <c r="R130" s="13">
        <v>3.53</v>
      </c>
      <c r="S130" s="13">
        <v>69.248999999999995</v>
      </c>
      <c r="T130" s="13">
        <v>14.375</v>
      </c>
      <c r="U130" s="13">
        <v>2.5</v>
      </c>
      <c r="V130" s="13">
        <v>6</v>
      </c>
      <c r="W130" s="13">
        <v>13.3125</v>
      </c>
      <c r="X130" s="13">
        <v>80</v>
      </c>
      <c r="Y130" s="13">
        <v>1.06</v>
      </c>
      <c r="Z130" s="13">
        <v>1.67</v>
      </c>
    </row>
    <row r="131" spans="1:26">
      <c r="M131" s="21" t="s">
        <v>67</v>
      </c>
      <c r="N131">
        <v>449</v>
      </c>
      <c r="O131">
        <v>124.937</v>
      </c>
      <c r="P131">
        <v>16.503</v>
      </c>
      <c r="Q131">
        <v>306.48500000000001</v>
      </c>
      <c r="R131">
        <v>4.3090000000000002</v>
      </c>
      <c r="S131">
        <v>56.155999999999999</v>
      </c>
      <c r="T131">
        <v>0</v>
      </c>
      <c r="U131">
        <v>2.5</v>
      </c>
      <c r="V131">
        <v>6</v>
      </c>
      <c r="W131">
        <v>15.3125</v>
      </c>
      <c r="X131">
        <v>125</v>
      </c>
      <c r="Y131">
        <v>0.83899999999999997</v>
      </c>
      <c r="Z131">
        <v>0</v>
      </c>
    </row>
    <row r="132" spans="1:26">
      <c r="M132" s="22" t="s">
        <v>68</v>
      </c>
      <c r="N132" s="13">
        <v>449</v>
      </c>
      <c r="O132" s="13">
        <v>124.937</v>
      </c>
      <c r="P132" s="13">
        <v>18.78</v>
      </c>
      <c r="Q132" s="13">
        <v>345.36099999999999</v>
      </c>
      <c r="R132" s="13">
        <v>4.2880000000000003</v>
      </c>
      <c r="S132" s="13">
        <v>63.902999999999999</v>
      </c>
      <c r="T132" s="13">
        <v>0</v>
      </c>
      <c r="U132" s="13">
        <v>2.5</v>
      </c>
      <c r="V132" s="13">
        <v>6</v>
      </c>
      <c r="W132" s="13">
        <v>15.3125</v>
      </c>
      <c r="X132" s="13">
        <v>125</v>
      </c>
      <c r="Y132" s="13">
        <v>0.83899999999999997</v>
      </c>
      <c r="Z132" s="13">
        <v>0</v>
      </c>
    </row>
    <row r="133" spans="1:26">
      <c r="M133" s="22" t="s">
        <v>69</v>
      </c>
      <c r="N133" s="14">
        <v>449</v>
      </c>
      <c r="O133" s="14">
        <v>194.51900000000001</v>
      </c>
      <c r="P133" s="14">
        <v>25.079000000000001</v>
      </c>
      <c r="Q133" s="14">
        <v>726.36</v>
      </c>
      <c r="R133" s="14">
        <v>5.3819999999999997</v>
      </c>
      <c r="S133" s="14">
        <v>85.337000000000003</v>
      </c>
      <c r="T133" s="14">
        <v>0</v>
      </c>
      <c r="U133" s="14">
        <v>6</v>
      </c>
      <c r="V133" s="14">
        <v>6</v>
      </c>
      <c r="W133" s="14">
        <v>15.375</v>
      </c>
      <c r="X133" s="14">
        <v>192</v>
      </c>
      <c r="Y133" s="14">
        <v>0.54300000000000004</v>
      </c>
      <c r="Z133" s="14">
        <v>0</v>
      </c>
    </row>
    <row r="136" spans="1:26" ht="12.75">
      <c r="A136" s="3"/>
      <c r="B136" s="15"/>
      <c r="C136" s="16"/>
      <c r="D136" s="16"/>
      <c r="E136" s="16"/>
      <c r="F136" s="16"/>
      <c r="G136" s="20"/>
      <c r="H136" s="4" t="s">
        <v>1</v>
      </c>
      <c r="J136" s="4" t="s">
        <v>2</v>
      </c>
      <c r="M136" s="4" t="s">
        <v>3</v>
      </c>
    </row>
    <row r="137" spans="1:26" ht="12.75">
      <c r="A137" s="1"/>
      <c r="B137" s="1"/>
      <c r="C137" s="1"/>
      <c r="D137" s="1"/>
      <c r="E137" s="1"/>
      <c r="F137" s="1"/>
      <c r="G137" s="1"/>
      <c r="J137" s="5">
        <f>2.85*10^8</f>
        <v>285000000</v>
      </c>
      <c r="K137" s="4" t="s">
        <v>4</v>
      </c>
      <c r="N137" s="4" t="s">
        <v>5</v>
      </c>
      <c r="O137" s="6" t="s">
        <v>6</v>
      </c>
      <c r="P137" s="6" t="s">
        <v>7</v>
      </c>
      <c r="Q137" s="6" t="s">
        <v>8</v>
      </c>
      <c r="R137" s="6" t="s">
        <v>9</v>
      </c>
      <c r="S137" s="6" t="s">
        <v>10</v>
      </c>
      <c r="T137" s="6" t="s">
        <v>11</v>
      </c>
      <c r="U137" s="6" t="s">
        <v>11</v>
      </c>
      <c r="V137" s="6" t="s">
        <v>11</v>
      </c>
      <c r="W137" s="6" t="s">
        <v>11</v>
      </c>
      <c r="X137" s="6" t="s">
        <v>12</v>
      </c>
      <c r="Y137" s="520" t="s">
        <v>13</v>
      </c>
      <c r="Z137" s="520"/>
    </row>
    <row r="138" spans="1:26" ht="12.75">
      <c r="A138" s="1"/>
      <c r="B138" s="1"/>
      <c r="C138" s="1"/>
      <c r="D138" s="1"/>
      <c r="E138" s="1"/>
      <c r="F138" s="1"/>
      <c r="G138" s="1"/>
      <c r="J138">
        <f>VLOOKUP(A139,M136:Z166,4,FALSE)</f>
        <v>7.1269999999999998</v>
      </c>
      <c r="K138" s="4" t="s">
        <v>14</v>
      </c>
      <c r="M138" s="4" t="s">
        <v>15</v>
      </c>
      <c r="N138" s="4" t="s">
        <v>16</v>
      </c>
      <c r="O138" s="6" t="s">
        <v>17</v>
      </c>
      <c r="P138" s="6" t="s">
        <v>17</v>
      </c>
      <c r="Q138" s="6" t="s">
        <v>18</v>
      </c>
      <c r="R138" s="6" t="s">
        <v>19</v>
      </c>
      <c r="S138" s="6" t="s">
        <v>20</v>
      </c>
      <c r="T138" s="6" t="s">
        <v>21</v>
      </c>
      <c r="U138" s="6" t="s">
        <v>22</v>
      </c>
      <c r="V138" s="6" t="s">
        <v>23</v>
      </c>
      <c r="W138" s="6" t="s">
        <v>24</v>
      </c>
      <c r="Y138" s="6" t="s">
        <v>25</v>
      </c>
      <c r="Z138" s="4" t="s">
        <v>26</v>
      </c>
    </row>
    <row r="139" spans="1:26" ht="12.75">
      <c r="A139" s="11" t="s">
        <v>42</v>
      </c>
      <c r="B139" s="3" t="s">
        <v>28</v>
      </c>
      <c r="C139" s="7"/>
      <c r="D139" s="7"/>
      <c r="E139" s="7"/>
      <c r="F139" s="7"/>
      <c r="G139" s="3" t="s">
        <v>1</v>
      </c>
      <c r="J139">
        <f>(A142)</f>
        <v>0</v>
      </c>
      <c r="K139" s="4" t="s">
        <v>29</v>
      </c>
      <c r="M139" s="21" t="s">
        <v>30</v>
      </c>
      <c r="N139">
        <v>492</v>
      </c>
      <c r="O139">
        <v>11.781000000000001</v>
      </c>
      <c r="P139">
        <v>2.8980000000000001</v>
      </c>
      <c r="Q139">
        <v>4.766</v>
      </c>
      <c r="R139">
        <v>1.282</v>
      </c>
      <c r="S139">
        <v>9.8620000000000001</v>
      </c>
      <c r="T139">
        <v>0</v>
      </c>
      <c r="U139">
        <v>3</v>
      </c>
      <c r="V139">
        <v>6.75</v>
      </c>
      <c r="W139">
        <v>9.375</v>
      </c>
      <c r="X139">
        <v>22</v>
      </c>
      <c r="Y139">
        <v>10.47</v>
      </c>
      <c r="Z139">
        <v>0</v>
      </c>
    </row>
    <row r="140" spans="1:26" ht="12.75">
      <c r="A140" s="319">
        <f>'Estimating Form'!$D$18/12+L956</f>
        <v>1.3333333333333333</v>
      </c>
      <c r="B140" s="3" t="s">
        <v>31</v>
      </c>
      <c r="C140" s="7"/>
      <c r="D140" s="7"/>
      <c r="E140" s="7"/>
      <c r="F140" s="7"/>
      <c r="G140" s="7"/>
      <c r="J140">
        <f>VLOOKUP(A139,M136:Z167,7,FALSE)</f>
        <v>24.251999999999999</v>
      </c>
      <c r="K140" s="4" t="s">
        <v>32</v>
      </c>
      <c r="M140" s="22" t="s">
        <v>33</v>
      </c>
      <c r="N140" s="13">
        <v>492</v>
      </c>
      <c r="O140" s="13">
        <v>11.781000000000001</v>
      </c>
      <c r="P140" s="13">
        <v>5.94</v>
      </c>
      <c r="Q140" s="13">
        <v>8.33</v>
      </c>
      <c r="R140" s="13">
        <v>1.1839999999999999</v>
      </c>
      <c r="S140" s="13">
        <v>20.213999999999999</v>
      </c>
      <c r="T140" s="13">
        <v>0</v>
      </c>
      <c r="U140" s="13">
        <v>3</v>
      </c>
      <c r="V140" s="13">
        <v>6.75</v>
      </c>
      <c r="W140" s="13">
        <v>9.375</v>
      </c>
      <c r="X140" s="13">
        <v>22</v>
      </c>
      <c r="Y140" s="13">
        <v>10.47</v>
      </c>
      <c r="Z140" s="13">
        <v>0</v>
      </c>
    </row>
    <row r="141" spans="1:26" ht="12.75">
      <c r="A141" s="11">
        <v>0</v>
      </c>
      <c r="B141" s="3" t="s">
        <v>34</v>
      </c>
      <c r="C141" s="7"/>
      <c r="D141" s="7"/>
      <c r="E141" s="7"/>
      <c r="F141" s="7"/>
      <c r="G141" s="7"/>
      <c r="J141">
        <f>VLOOKUP(A139,M136:Z166,6,FALSE)</f>
        <v>1.345</v>
      </c>
      <c r="K141" s="4" t="s">
        <v>35</v>
      </c>
      <c r="M141" s="21" t="s">
        <v>36</v>
      </c>
      <c r="N141">
        <v>594</v>
      </c>
      <c r="O141">
        <v>14.93</v>
      </c>
      <c r="P141">
        <v>3.3490000000000002</v>
      </c>
      <c r="Q141">
        <v>7.0650000000000004</v>
      </c>
      <c r="R141">
        <v>1.452</v>
      </c>
      <c r="S141">
        <v>11.396000000000001</v>
      </c>
      <c r="T141">
        <v>9.3125</v>
      </c>
      <c r="U141">
        <v>3</v>
      </c>
      <c r="V141">
        <v>5.5</v>
      </c>
      <c r="W141">
        <v>8.8125</v>
      </c>
      <c r="X141">
        <v>29</v>
      </c>
      <c r="Y141">
        <v>9.52</v>
      </c>
      <c r="Z141">
        <v>16.670000000000002</v>
      </c>
    </row>
    <row r="142" spans="1:26" ht="12.75">
      <c r="A142" s="11">
        <f>'Estimating Form'!$G$22</f>
        <v>0</v>
      </c>
      <c r="B142" s="3" t="s">
        <v>37</v>
      </c>
      <c r="C142" s="7"/>
      <c r="D142" s="7"/>
      <c r="E142" s="7"/>
      <c r="F142" s="7"/>
      <c r="G142" s="7"/>
      <c r="J142">
        <f>(A140*12+A141)</f>
        <v>16</v>
      </c>
      <c r="K142" s="4" t="s">
        <v>38</v>
      </c>
      <c r="M142" s="21" t="s">
        <v>39</v>
      </c>
      <c r="N142">
        <v>594</v>
      </c>
      <c r="O142">
        <v>14.93</v>
      </c>
      <c r="P142">
        <v>5.5170000000000003</v>
      </c>
      <c r="Q142">
        <v>10.686999999999999</v>
      </c>
      <c r="R142">
        <v>1.3919999999999999</v>
      </c>
      <c r="S142">
        <v>18.771999999999998</v>
      </c>
      <c r="T142">
        <v>9.3125</v>
      </c>
      <c r="U142">
        <v>3</v>
      </c>
      <c r="V142">
        <v>5.5</v>
      </c>
      <c r="W142">
        <v>8.8125</v>
      </c>
      <c r="X142">
        <v>29</v>
      </c>
      <c r="Y142">
        <v>9.52</v>
      </c>
      <c r="Z142">
        <v>16.670000000000002</v>
      </c>
    </row>
    <row r="143" spans="1:26" ht="12.75">
      <c r="A143" s="11">
        <f>'Estimating Form'!$D$20</f>
        <v>0</v>
      </c>
      <c r="B143" s="3" t="s">
        <v>40</v>
      </c>
      <c r="C143" s="7"/>
      <c r="D143" s="7"/>
      <c r="E143" s="7"/>
      <c r="F143" s="7"/>
      <c r="G143" s="7"/>
      <c r="J143">
        <f>(A140+A141/12)</f>
        <v>1.3333333333333333</v>
      </c>
      <c r="K143" s="4" t="s">
        <v>41</v>
      </c>
      <c r="M143" s="22" t="s">
        <v>42</v>
      </c>
      <c r="N143" s="13">
        <v>594</v>
      </c>
      <c r="O143" s="13">
        <v>14.93</v>
      </c>
      <c r="P143" s="13">
        <v>7.1269999999999998</v>
      </c>
      <c r="Q143" s="13">
        <v>12.893000000000001</v>
      </c>
      <c r="R143" s="13">
        <v>1.345</v>
      </c>
      <c r="S143" s="13">
        <v>24.251999999999999</v>
      </c>
      <c r="T143" s="13">
        <v>9.3125</v>
      </c>
      <c r="U143" s="13">
        <v>3</v>
      </c>
      <c r="V143" s="13">
        <v>5.5</v>
      </c>
      <c r="W143" s="13">
        <v>8.8125</v>
      </c>
      <c r="X143" s="13">
        <v>29</v>
      </c>
      <c r="Y143" s="13">
        <v>9.52</v>
      </c>
      <c r="Z143" s="13">
        <v>16.670000000000002</v>
      </c>
    </row>
    <row r="144" spans="1:26" ht="12.75">
      <c r="A144" s="11">
        <v>0</v>
      </c>
      <c r="B144" s="3" t="s">
        <v>43</v>
      </c>
      <c r="C144" s="7"/>
      <c r="D144" s="7"/>
      <c r="E144" s="7"/>
      <c r="F144" s="7"/>
      <c r="G144" s="7"/>
      <c r="M144" s="21" t="s">
        <v>44</v>
      </c>
      <c r="N144">
        <v>630</v>
      </c>
      <c r="O144">
        <v>23.114999999999998</v>
      </c>
      <c r="P144">
        <v>4.8</v>
      </c>
      <c r="Q144">
        <v>15.824999999999999</v>
      </c>
      <c r="R144">
        <v>1.8160000000000001</v>
      </c>
      <c r="S144">
        <v>16.332999999999998</v>
      </c>
      <c r="T144">
        <v>9.75</v>
      </c>
      <c r="U144">
        <v>3</v>
      </c>
      <c r="V144">
        <v>5.5</v>
      </c>
      <c r="W144">
        <v>9.1875</v>
      </c>
      <c r="X144">
        <v>43</v>
      </c>
      <c r="Y144">
        <v>6.95</v>
      </c>
      <c r="Z144">
        <v>10.9</v>
      </c>
    </row>
    <row r="145" spans="1:26" ht="12.75">
      <c r="A145" s="7"/>
      <c r="B145" s="7"/>
      <c r="C145" s="7"/>
      <c r="D145" s="7"/>
      <c r="E145" s="7"/>
      <c r="F145" s="7"/>
      <c r="G145" s="7"/>
      <c r="J145">
        <f>(J137*J138/(J139+(J140*J143/2)))*(J141/J142)^2</f>
        <v>887768.88927854213</v>
      </c>
      <c r="M145" s="21" t="s">
        <v>45</v>
      </c>
      <c r="N145">
        <v>630</v>
      </c>
      <c r="O145">
        <v>23.114999999999998</v>
      </c>
      <c r="P145">
        <v>6.59</v>
      </c>
      <c r="Q145">
        <v>20.786000000000001</v>
      </c>
      <c r="R145">
        <v>1.776</v>
      </c>
      <c r="S145">
        <v>22.422000000000001</v>
      </c>
      <c r="T145">
        <v>9.75</v>
      </c>
      <c r="U145">
        <v>3</v>
      </c>
      <c r="V145">
        <v>5.5</v>
      </c>
      <c r="W145">
        <v>9.1875</v>
      </c>
      <c r="X145">
        <v>43</v>
      </c>
      <c r="Y145">
        <v>6.95</v>
      </c>
      <c r="Z145">
        <v>10.9</v>
      </c>
    </row>
    <row r="146" spans="1:26" ht="12.75">
      <c r="A146" s="12">
        <f>(J145)</f>
        <v>887768.88927854213</v>
      </c>
      <c r="B146" s="3" t="s">
        <v>46</v>
      </c>
      <c r="C146" s="7"/>
      <c r="D146" s="7"/>
      <c r="E146" s="7"/>
      <c r="F146" s="7"/>
      <c r="G146" s="7"/>
      <c r="M146" s="21" t="s">
        <v>47</v>
      </c>
      <c r="N146">
        <v>630</v>
      </c>
      <c r="O146">
        <v>23.114999999999998</v>
      </c>
      <c r="P146">
        <v>8.5050000000000008</v>
      </c>
      <c r="Q146">
        <v>25.532</v>
      </c>
      <c r="R146">
        <v>1.7330000000000001</v>
      </c>
      <c r="S146">
        <v>28.94</v>
      </c>
      <c r="T146">
        <v>9.75</v>
      </c>
      <c r="U146">
        <v>3</v>
      </c>
      <c r="V146">
        <v>5.5</v>
      </c>
      <c r="W146">
        <v>9.1875</v>
      </c>
      <c r="X146">
        <v>43</v>
      </c>
      <c r="Y146">
        <v>6.95</v>
      </c>
      <c r="Z146">
        <v>10.9</v>
      </c>
    </row>
    <row r="147" spans="1:26" ht="12.75">
      <c r="A147" s="12">
        <f>(J151)</f>
        <v>0</v>
      </c>
      <c r="B147" s="3" t="s">
        <v>48</v>
      </c>
      <c r="C147" s="7"/>
      <c r="D147" s="7"/>
      <c r="E147" s="7"/>
      <c r="F147" s="7"/>
      <c r="G147" s="7"/>
      <c r="J147" s="4" t="s">
        <v>49</v>
      </c>
      <c r="M147" s="22" t="s">
        <v>50</v>
      </c>
      <c r="N147" s="13">
        <v>234</v>
      </c>
      <c r="O147" s="13">
        <v>23.114999999999998</v>
      </c>
      <c r="P147" s="13">
        <v>10.148999999999999</v>
      </c>
      <c r="Q147" s="13">
        <v>29.140999999999998</v>
      </c>
      <c r="R147" s="13">
        <v>1.694</v>
      </c>
      <c r="S147" s="13">
        <v>34.436</v>
      </c>
      <c r="T147" s="13">
        <v>9.75</v>
      </c>
      <c r="U147" s="13">
        <v>3</v>
      </c>
      <c r="V147" s="13">
        <v>5.5</v>
      </c>
      <c r="W147" s="13">
        <v>9.1875</v>
      </c>
      <c r="X147" s="13">
        <v>43</v>
      </c>
      <c r="Y147" s="13">
        <v>6.95</v>
      </c>
      <c r="Z147" s="13">
        <v>10.9</v>
      </c>
    </row>
    <row r="148" spans="1:26" ht="12.75">
      <c r="A148" s="11">
        <f>'Estimating Form'!$D$18/12+L957</f>
        <v>1.7708333333333333</v>
      </c>
      <c r="B148" s="3" t="s">
        <v>957</v>
      </c>
      <c r="J148">
        <f>VLOOKUP(A139,M136:Z166,IF(A144=1,13,12)+1,FALSE)</f>
        <v>9.52</v>
      </c>
      <c r="K148" s="4" t="s">
        <v>51</v>
      </c>
      <c r="M148" s="21" t="s">
        <v>27</v>
      </c>
      <c r="N148">
        <v>630</v>
      </c>
      <c r="O148">
        <v>33.03</v>
      </c>
      <c r="P148">
        <v>5.9219999999999997</v>
      </c>
      <c r="Q148">
        <v>28.338999999999999</v>
      </c>
      <c r="R148">
        <v>2.1880000000000002</v>
      </c>
      <c r="S148">
        <v>20.149999999999999</v>
      </c>
      <c r="T148">
        <v>9.75</v>
      </c>
      <c r="U148">
        <v>3</v>
      </c>
      <c r="V148">
        <v>5.5</v>
      </c>
      <c r="W148">
        <v>9.1875</v>
      </c>
      <c r="X148">
        <v>43</v>
      </c>
      <c r="Y148">
        <v>3.41</v>
      </c>
      <c r="Z148">
        <v>5.34</v>
      </c>
    </row>
    <row r="149" spans="1:26">
      <c r="A149" s="8"/>
      <c r="B149" s="4"/>
      <c r="J149">
        <f>(A143)</f>
        <v>0</v>
      </c>
      <c r="K149" s="4" t="s">
        <v>52</v>
      </c>
      <c r="M149" s="21" t="s">
        <v>53</v>
      </c>
      <c r="N149">
        <v>630</v>
      </c>
      <c r="O149">
        <v>33.03</v>
      </c>
      <c r="P149">
        <v>9.2799999999999994</v>
      </c>
      <c r="Q149">
        <v>41.933</v>
      </c>
      <c r="R149">
        <v>2.1259999999999999</v>
      </c>
      <c r="S149">
        <v>31.579000000000001</v>
      </c>
      <c r="T149">
        <v>9.75</v>
      </c>
      <c r="U149">
        <v>3</v>
      </c>
      <c r="V149">
        <v>5.5</v>
      </c>
      <c r="W149">
        <v>9.1875</v>
      </c>
      <c r="X149">
        <v>43</v>
      </c>
      <c r="Y149">
        <v>3.41</v>
      </c>
      <c r="Z149">
        <v>5.34</v>
      </c>
    </row>
    <row r="150" spans="1:26">
      <c r="A150" s="8"/>
      <c r="B150" s="9"/>
      <c r="M150" s="21" t="s">
        <v>54</v>
      </c>
      <c r="N150">
        <v>630</v>
      </c>
      <c r="O150">
        <v>33.03</v>
      </c>
      <c r="P150">
        <v>11.898999999999999</v>
      </c>
      <c r="Q150">
        <v>51.284999999999997</v>
      </c>
      <c r="R150">
        <v>2.0760000000000001</v>
      </c>
      <c r="S150">
        <v>40.488999999999997</v>
      </c>
      <c r="T150">
        <v>9.75</v>
      </c>
      <c r="U150">
        <v>3</v>
      </c>
      <c r="V150">
        <v>5.5</v>
      </c>
      <c r="W150">
        <v>9.1875</v>
      </c>
      <c r="X150">
        <v>43</v>
      </c>
      <c r="Y150">
        <v>3.41</v>
      </c>
      <c r="Z150">
        <v>5.34</v>
      </c>
    </row>
    <row r="151" spans="1:26">
      <c r="A151" s="8"/>
      <c r="B151" s="9"/>
      <c r="J151">
        <f>(J148*(J143+4)*J149*10^-6)</f>
        <v>0</v>
      </c>
      <c r="M151" s="22" t="s">
        <v>55</v>
      </c>
      <c r="N151" s="13">
        <v>630</v>
      </c>
      <c r="O151" s="13">
        <v>33.03</v>
      </c>
      <c r="P151" s="13">
        <v>14.196</v>
      </c>
      <c r="Q151" s="13">
        <v>58.588999999999999</v>
      </c>
      <c r="R151" s="13">
        <v>2.032</v>
      </c>
      <c r="S151" s="13">
        <v>48.304000000000002</v>
      </c>
      <c r="T151" s="13">
        <v>9.75</v>
      </c>
      <c r="U151" s="13">
        <v>3</v>
      </c>
      <c r="V151" s="13">
        <v>5.5</v>
      </c>
      <c r="W151" s="13">
        <v>9.1875</v>
      </c>
      <c r="X151" s="13">
        <v>43</v>
      </c>
      <c r="Y151" s="13">
        <v>3.41</v>
      </c>
      <c r="Z151" s="13">
        <v>5.34</v>
      </c>
    </row>
    <row r="152" spans="1:26">
      <c r="A152" s="8"/>
      <c r="M152" s="21" t="s">
        <v>56</v>
      </c>
      <c r="N152">
        <v>630</v>
      </c>
      <c r="O152">
        <v>44.031999999999996</v>
      </c>
      <c r="P152">
        <v>8.109</v>
      </c>
      <c r="Q152">
        <v>51.593000000000004</v>
      </c>
      <c r="R152">
        <v>2.5219999999999998</v>
      </c>
      <c r="S152">
        <v>27.591999999999999</v>
      </c>
      <c r="T152">
        <v>10.9375</v>
      </c>
      <c r="U152">
        <v>2.5</v>
      </c>
      <c r="V152">
        <v>6</v>
      </c>
      <c r="W152">
        <v>9.9375</v>
      </c>
      <c r="X152">
        <v>61</v>
      </c>
      <c r="Y152">
        <v>3</v>
      </c>
      <c r="Z152">
        <v>4.29</v>
      </c>
    </row>
    <row r="153" spans="1:26">
      <c r="A153" s="8"/>
      <c r="B153" s="9"/>
      <c r="M153" s="21" t="s">
        <v>57</v>
      </c>
      <c r="N153">
        <v>630</v>
      </c>
      <c r="O153">
        <v>44.031999999999996</v>
      </c>
      <c r="P153">
        <v>9.4350000000000005</v>
      </c>
      <c r="Q153">
        <v>59.033999999999999</v>
      </c>
      <c r="R153">
        <v>2.5009999999999999</v>
      </c>
      <c r="S153">
        <v>32.103999999999999</v>
      </c>
      <c r="T153">
        <v>10.9375</v>
      </c>
      <c r="U153">
        <v>2.5</v>
      </c>
      <c r="V153">
        <v>6</v>
      </c>
      <c r="W153">
        <v>9.9375</v>
      </c>
      <c r="X153">
        <v>61</v>
      </c>
      <c r="Y153">
        <v>3</v>
      </c>
      <c r="Z153">
        <v>4.29</v>
      </c>
    </row>
    <row r="154" spans="1:26" ht="15.75">
      <c r="A154" s="37"/>
      <c r="B154" s="97"/>
      <c r="C154" s="515" t="s">
        <v>93</v>
      </c>
      <c r="D154" s="515"/>
      <c r="E154" s="40">
        <f>(B155-A143)/(O143)-(0.39*A140)</f>
        <v>1.8775636302746146</v>
      </c>
      <c r="M154" s="23" t="s">
        <v>59</v>
      </c>
      <c r="N154">
        <v>630</v>
      </c>
      <c r="O154">
        <v>44.031999999999996</v>
      </c>
      <c r="P154">
        <v>14.49</v>
      </c>
      <c r="Q154">
        <v>84.834000000000003</v>
      </c>
      <c r="R154">
        <v>2.42</v>
      </c>
      <c r="S154">
        <v>49.305</v>
      </c>
      <c r="T154">
        <v>10.9375</v>
      </c>
      <c r="U154">
        <v>2.5</v>
      </c>
      <c r="V154">
        <v>6</v>
      </c>
      <c r="W154">
        <v>9.9375</v>
      </c>
      <c r="X154">
        <v>61</v>
      </c>
      <c r="Y154">
        <v>3</v>
      </c>
      <c r="Z154">
        <v>4.29</v>
      </c>
    </row>
    <row r="155" spans="1:26" ht="15.75">
      <c r="A155" s="37" t="s">
        <v>98</v>
      </c>
      <c r="B155" s="41">
        <f>A142+B159</f>
        <v>35.795624999999994</v>
      </c>
      <c r="C155" s="516" t="s">
        <v>99</v>
      </c>
      <c r="D155" s="516"/>
      <c r="E155" s="42">
        <f>((B155/(O143))*1.1)</f>
        <v>2.6373199933020763</v>
      </c>
      <c r="M155" s="24" t="s">
        <v>58</v>
      </c>
      <c r="N155" s="13">
        <v>630</v>
      </c>
      <c r="O155" s="13">
        <v>44.031999999999996</v>
      </c>
      <c r="P155" s="13">
        <v>19.181000000000001</v>
      </c>
      <c r="Q155" s="13">
        <v>105.14</v>
      </c>
      <c r="R155" s="13">
        <v>2.3410000000000002</v>
      </c>
      <c r="S155" s="13">
        <v>65.268000000000001</v>
      </c>
      <c r="T155" s="13">
        <v>10.9375</v>
      </c>
      <c r="U155" s="13">
        <v>2.5</v>
      </c>
      <c r="V155" s="13">
        <v>6</v>
      </c>
      <c r="W155" s="13">
        <v>9.9375</v>
      </c>
      <c r="X155" s="13">
        <v>61</v>
      </c>
      <c r="Y155" s="13">
        <v>3</v>
      </c>
      <c r="Z155" s="13">
        <v>4.29</v>
      </c>
    </row>
    <row r="156" spans="1:26" ht="15">
      <c r="A156" s="37"/>
      <c r="B156" s="38"/>
      <c r="C156" s="517" t="s">
        <v>106</v>
      </c>
      <c r="D156" s="514" t="str">
        <f>IF(E154&gt;90,"Good!","Too Low, increase GLOPU or decrease jack diameter, if above 50 use ASK ENGINEERING")</f>
        <v>Too Low, increase GLOPU or decrease jack diameter, if above 50 use ASK ENGINEERING</v>
      </c>
      <c r="E156" s="514"/>
      <c r="F156" s="10"/>
      <c r="M156" s="21" t="s">
        <v>60</v>
      </c>
      <c r="N156">
        <v>630</v>
      </c>
      <c r="O156">
        <v>56.578000000000003</v>
      </c>
      <c r="P156">
        <v>9.2829999999999995</v>
      </c>
      <c r="Q156">
        <v>76.736999999999995</v>
      </c>
      <c r="R156">
        <v>2.875</v>
      </c>
      <c r="S156">
        <v>31.588999999999999</v>
      </c>
      <c r="T156">
        <v>10.9375</v>
      </c>
      <c r="U156">
        <v>2.5</v>
      </c>
      <c r="V156">
        <v>6</v>
      </c>
      <c r="W156">
        <v>9.9375</v>
      </c>
      <c r="X156">
        <v>61</v>
      </c>
      <c r="Y156">
        <v>1.82</v>
      </c>
      <c r="Z156">
        <v>2.6</v>
      </c>
    </row>
    <row r="157" spans="1:26" ht="15.75" thickBot="1">
      <c r="A157" s="37"/>
      <c r="B157" s="44"/>
      <c r="C157" s="518"/>
      <c r="D157" s="519"/>
      <c r="E157" s="519"/>
      <c r="M157" s="21" t="s">
        <v>61</v>
      </c>
      <c r="N157">
        <v>630</v>
      </c>
      <c r="O157">
        <v>56.578000000000003</v>
      </c>
      <c r="P157">
        <v>10.734999999999999</v>
      </c>
      <c r="Q157">
        <v>87.494</v>
      </c>
      <c r="R157">
        <v>2.855</v>
      </c>
      <c r="S157">
        <v>36.527999999999999</v>
      </c>
      <c r="T157">
        <v>10.9375</v>
      </c>
      <c r="U157">
        <v>2.5</v>
      </c>
      <c r="V157">
        <v>6</v>
      </c>
      <c r="W157">
        <v>9.9375</v>
      </c>
      <c r="X157">
        <v>61</v>
      </c>
      <c r="Y157">
        <v>1.82</v>
      </c>
      <c r="Z157">
        <v>2.6</v>
      </c>
    </row>
    <row r="158" spans="1:26" ht="15">
      <c r="A158" s="37"/>
      <c r="B158" s="39"/>
      <c r="C158" s="512" t="s">
        <v>118</v>
      </c>
      <c r="D158" s="514" t="str">
        <f>IF(E155&gt;500,"Too High, reduce GLOPU or increase plunger diameter","Good!")</f>
        <v>Good!</v>
      </c>
      <c r="E158" s="514"/>
      <c r="M158" s="24" t="s">
        <v>70</v>
      </c>
      <c r="N158" s="13">
        <v>630</v>
      </c>
      <c r="O158" s="13">
        <v>56.578000000000003</v>
      </c>
      <c r="P158" s="13">
        <v>15.885999999999999</v>
      </c>
      <c r="Q158" s="13">
        <v>122.965</v>
      </c>
      <c r="R158" s="13">
        <v>2.782</v>
      </c>
      <c r="S158" s="13">
        <v>54.055</v>
      </c>
      <c r="T158" s="13">
        <v>10.9375</v>
      </c>
      <c r="U158" s="13">
        <v>2.5</v>
      </c>
      <c r="V158" s="13">
        <v>6</v>
      </c>
      <c r="W158" s="13">
        <v>9.9375</v>
      </c>
      <c r="X158" s="13">
        <v>61</v>
      </c>
      <c r="Y158" s="13">
        <v>1.82</v>
      </c>
      <c r="Z158" s="13">
        <v>2.6</v>
      </c>
    </row>
    <row r="159" spans="1:26" ht="15">
      <c r="A159" s="46" t="s">
        <v>122</v>
      </c>
      <c r="B159" s="96">
        <f>S140*A148</f>
        <v>35.795624999999994</v>
      </c>
      <c r="C159" s="513"/>
      <c r="D159" s="514"/>
      <c r="E159" s="514"/>
      <c r="M159" s="21" t="s">
        <v>62</v>
      </c>
      <c r="N159">
        <v>537</v>
      </c>
      <c r="O159">
        <v>70.695999999999998</v>
      </c>
      <c r="P159">
        <v>12.27</v>
      </c>
      <c r="Q159">
        <v>126.072</v>
      </c>
      <c r="R159">
        <v>3.2050000000000001</v>
      </c>
      <c r="S159">
        <v>41.75</v>
      </c>
      <c r="T159">
        <v>14.375</v>
      </c>
      <c r="U159">
        <v>2.5</v>
      </c>
      <c r="V159">
        <v>6</v>
      </c>
      <c r="W159">
        <v>12.9375</v>
      </c>
      <c r="X159">
        <v>80</v>
      </c>
      <c r="Y159">
        <v>1.66</v>
      </c>
      <c r="Z159">
        <v>2.62</v>
      </c>
    </row>
    <row r="160" spans="1:26">
      <c r="E160" s="10"/>
      <c r="F160" s="10"/>
      <c r="M160" s="22" t="s">
        <v>63</v>
      </c>
      <c r="N160" s="13">
        <v>537</v>
      </c>
      <c r="O160" s="13">
        <v>70.695999999999998</v>
      </c>
      <c r="P160" s="13">
        <v>18.847000000000001</v>
      </c>
      <c r="Q160" s="13">
        <v>183.79400000000001</v>
      </c>
      <c r="R160" s="13">
        <v>3.1230000000000002</v>
      </c>
      <c r="S160" s="13">
        <v>64.132000000000005</v>
      </c>
      <c r="T160" s="13">
        <v>14.375</v>
      </c>
      <c r="U160" s="13">
        <v>2.5</v>
      </c>
      <c r="V160" s="13">
        <v>6</v>
      </c>
      <c r="W160" s="13">
        <v>12.9375</v>
      </c>
      <c r="X160" s="13">
        <v>80</v>
      </c>
      <c r="Y160" s="13">
        <v>1.66</v>
      </c>
      <c r="Z160" s="13">
        <v>2.62</v>
      </c>
    </row>
    <row r="161" spans="1:26">
      <c r="A161" s="8"/>
      <c r="B161" s="9"/>
      <c r="M161" s="21" t="s">
        <v>64</v>
      </c>
      <c r="N161">
        <v>537</v>
      </c>
      <c r="O161">
        <v>88.456000000000003</v>
      </c>
      <c r="P161">
        <v>13.656000000000001</v>
      </c>
      <c r="Q161">
        <v>177.40799999999999</v>
      </c>
      <c r="R161">
        <v>3.6040000000000001</v>
      </c>
      <c r="S161">
        <v>46.466999999999999</v>
      </c>
      <c r="T161">
        <v>14.375</v>
      </c>
      <c r="U161">
        <v>2.5</v>
      </c>
      <c r="V161">
        <v>6</v>
      </c>
      <c r="W161">
        <v>13.3125</v>
      </c>
      <c r="X161">
        <v>80</v>
      </c>
      <c r="Y161">
        <v>1.06</v>
      </c>
      <c r="Z161">
        <v>1.67</v>
      </c>
    </row>
    <row r="162" spans="1:26">
      <c r="B162" s="9"/>
      <c r="M162" s="21" t="s">
        <v>65</v>
      </c>
      <c r="N162">
        <v>537</v>
      </c>
      <c r="O162">
        <v>88.456000000000003</v>
      </c>
      <c r="P162">
        <v>16.48</v>
      </c>
      <c r="Q162">
        <v>210.39400000000001</v>
      </c>
      <c r="R162">
        <v>3.573</v>
      </c>
      <c r="S162">
        <v>56.076999999999998</v>
      </c>
      <c r="T162">
        <v>14.375</v>
      </c>
      <c r="U162">
        <v>2.5</v>
      </c>
      <c r="V162">
        <v>6</v>
      </c>
      <c r="W162">
        <v>13.3125</v>
      </c>
      <c r="X162">
        <v>80</v>
      </c>
      <c r="Y162">
        <v>1.06</v>
      </c>
      <c r="Z162">
        <v>1.67</v>
      </c>
    </row>
    <row r="163" spans="1:26">
      <c r="B163" s="9"/>
      <c r="M163" s="22" t="s">
        <v>66</v>
      </c>
      <c r="N163" s="13">
        <v>537</v>
      </c>
      <c r="O163" s="13">
        <v>88.456000000000003</v>
      </c>
      <c r="P163" s="13">
        <v>20.350999999999999</v>
      </c>
      <c r="Q163" s="13">
        <v>253.547</v>
      </c>
      <c r="R163" s="13">
        <v>3.53</v>
      </c>
      <c r="S163" s="13">
        <v>69.248999999999995</v>
      </c>
      <c r="T163" s="13">
        <v>14.375</v>
      </c>
      <c r="U163" s="13">
        <v>2.5</v>
      </c>
      <c r="V163" s="13">
        <v>6</v>
      </c>
      <c r="W163" s="13">
        <v>13.3125</v>
      </c>
      <c r="X163" s="13">
        <v>80</v>
      </c>
      <c r="Y163" s="13">
        <v>1.06</v>
      </c>
      <c r="Z163" s="13">
        <v>1.67</v>
      </c>
    </row>
    <row r="164" spans="1:26">
      <c r="M164" s="21" t="s">
        <v>67</v>
      </c>
      <c r="N164">
        <v>449</v>
      </c>
      <c r="O164">
        <v>124.937</v>
      </c>
      <c r="P164">
        <v>16.503</v>
      </c>
      <c r="Q164">
        <v>306.48500000000001</v>
      </c>
      <c r="R164">
        <v>4.3090000000000002</v>
      </c>
      <c r="S164">
        <v>56.155999999999999</v>
      </c>
      <c r="T164">
        <v>0</v>
      </c>
      <c r="U164">
        <v>2.5</v>
      </c>
      <c r="V164">
        <v>6</v>
      </c>
      <c r="W164">
        <v>15.3125</v>
      </c>
      <c r="X164">
        <v>125</v>
      </c>
      <c r="Y164">
        <v>0.83899999999999997</v>
      </c>
      <c r="Z164">
        <v>0</v>
      </c>
    </row>
    <row r="165" spans="1:26">
      <c r="M165" s="22" t="s">
        <v>68</v>
      </c>
      <c r="N165" s="13">
        <v>449</v>
      </c>
      <c r="O165" s="13">
        <v>124.937</v>
      </c>
      <c r="P165" s="13">
        <v>18.78</v>
      </c>
      <c r="Q165" s="13">
        <v>345.36099999999999</v>
      </c>
      <c r="R165" s="13">
        <v>4.2880000000000003</v>
      </c>
      <c r="S165" s="13">
        <v>63.902999999999999</v>
      </c>
      <c r="T165" s="13">
        <v>0</v>
      </c>
      <c r="U165" s="13">
        <v>2.5</v>
      </c>
      <c r="V165" s="13">
        <v>6</v>
      </c>
      <c r="W165" s="13">
        <v>15.3125</v>
      </c>
      <c r="X165" s="13">
        <v>125</v>
      </c>
      <c r="Y165" s="13">
        <v>0.83899999999999997</v>
      </c>
      <c r="Z165" s="13">
        <v>0</v>
      </c>
    </row>
    <row r="166" spans="1:26">
      <c r="M166" s="22" t="s">
        <v>69</v>
      </c>
      <c r="N166" s="14">
        <v>449</v>
      </c>
      <c r="O166" s="14">
        <v>194.51900000000001</v>
      </c>
      <c r="P166" s="14">
        <v>25.079000000000001</v>
      </c>
      <c r="Q166" s="14">
        <v>726.36</v>
      </c>
      <c r="R166" s="14">
        <v>5.3819999999999997</v>
      </c>
      <c r="S166" s="14">
        <v>85.337000000000003</v>
      </c>
      <c r="T166" s="14">
        <v>0</v>
      </c>
      <c r="U166" s="14">
        <v>6</v>
      </c>
      <c r="V166" s="14">
        <v>6</v>
      </c>
      <c r="W166" s="14">
        <v>15.375</v>
      </c>
      <c r="X166" s="14">
        <v>192</v>
      </c>
      <c r="Y166" s="14">
        <v>0.54300000000000004</v>
      </c>
      <c r="Z166" s="14">
        <v>0</v>
      </c>
    </row>
    <row r="169" spans="1:26" ht="12.75">
      <c r="A169" s="3"/>
      <c r="B169" s="15"/>
      <c r="C169" s="16"/>
      <c r="D169" s="16"/>
      <c r="E169" s="16"/>
      <c r="F169" s="16"/>
      <c r="G169" s="20"/>
      <c r="H169" s="4" t="s">
        <v>1</v>
      </c>
      <c r="J169" s="4" t="s">
        <v>2</v>
      </c>
      <c r="M169" s="4" t="s">
        <v>3</v>
      </c>
    </row>
    <row r="170" spans="1:26" ht="12.75">
      <c r="A170" s="1"/>
      <c r="B170" s="1"/>
      <c r="C170" s="1"/>
      <c r="D170" s="1"/>
      <c r="E170" s="1"/>
      <c r="F170" s="1"/>
      <c r="G170" s="1"/>
      <c r="J170" s="5">
        <f>2.85*10^8</f>
        <v>285000000</v>
      </c>
      <c r="K170" s="4" t="s">
        <v>4</v>
      </c>
      <c r="N170" s="4" t="s">
        <v>5</v>
      </c>
      <c r="O170" s="6" t="s">
        <v>6</v>
      </c>
      <c r="P170" s="6" t="s">
        <v>7</v>
      </c>
      <c r="Q170" s="6" t="s">
        <v>8</v>
      </c>
      <c r="R170" s="6" t="s">
        <v>9</v>
      </c>
      <c r="S170" s="6" t="s">
        <v>10</v>
      </c>
      <c r="T170" s="6" t="s">
        <v>11</v>
      </c>
      <c r="U170" s="6" t="s">
        <v>11</v>
      </c>
      <c r="V170" s="6" t="s">
        <v>11</v>
      </c>
      <c r="W170" s="6" t="s">
        <v>11</v>
      </c>
      <c r="X170" s="6" t="s">
        <v>12</v>
      </c>
      <c r="Y170" s="520" t="s">
        <v>13</v>
      </c>
      <c r="Z170" s="520"/>
    </row>
    <row r="171" spans="1:26" ht="12.75">
      <c r="A171" s="1"/>
      <c r="B171" s="1"/>
      <c r="C171" s="1"/>
      <c r="D171" s="1"/>
      <c r="E171" s="1"/>
      <c r="F171" s="1"/>
      <c r="G171" s="1"/>
      <c r="J171">
        <f>VLOOKUP(A172,M169:Z199,4,FALSE)</f>
        <v>4.8</v>
      </c>
      <c r="K171" s="4" t="s">
        <v>14</v>
      </c>
      <c r="M171" s="4" t="s">
        <v>15</v>
      </c>
      <c r="N171" s="4" t="s">
        <v>16</v>
      </c>
      <c r="O171" s="6" t="s">
        <v>17</v>
      </c>
      <c r="P171" s="6" t="s">
        <v>17</v>
      </c>
      <c r="Q171" s="6" t="s">
        <v>18</v>
      </c>
      <c r="R171" s="6" t="s">
        <v>19</v>
      </c>
      <c r="S171" s="6" t="s">
        <v>20</v>
      </c>
      <c r="T171" s="6" t="s">
        <v>21</v>
      </c>
      <c r="U171" s="6" t="s">
        <v>22</v>
      </c>
      <c r="V171" s="6" t="s">
        <v>23</v>
      </c>
      <c r="W171" s="6" t="s">
        <v>24</v>
      </c>
      <c r="Y171" s="6" t="s">
        <v>25</v>
      </c>
      <c r="Z171" s="4" t="s">
        <v>26</v>
      </c>
    </row>
    <row r="172" spans="1:26" ht="12.75">
      <c r="A172" s="11" t="s">
        <v>44</v>
      </c>
      <c r="B172" s="3" t="s">
        <v>28</v>
      </c>
      <c r="C172" s="7"/>
      <c r="D172" s="7"/>
      <c r="E172" s="7"/>
      <c r="F172" s="7"/>
      <c r="G172" s="3" t="s">
        <v>1</v>
      </c>
      <c r="J172">
        <f>(A175)</f>
        <v>0</v>
      </c>
      <c r="K172" s="4" t="s">
        <v>29</v>
      </c>
      <c r="M172" s="21" t="s">
        <v>30</v>
      </c>
      <c r="N172">
        <v>492</v>
      </c>
      <c r="O172">
        <v>11.781000000000001</v>
      </c>
      <c r="P172">
        <v>2.8980000000000001</v>
      </c>
      <c r="Q172">
        <v>4.766</v>
      </c>
      <c r="R172">
        <v>1.282</v>
      </c>
      <c r="S172">
        <v>9.8620000000000001</v>
      </c>
      <c r="T172">
        <v>0</v>
      </c>
      <c r="U172">
        <v>3</v>
      </c>
      <c r="V172">
        <v>6.75</v>
      </c>
      <c r="W172">
        <v>9.375</v>
      </c>
      <c r="X172">
        <v>22</v>
      </c>
      <c r="Y172">
        <v>10.47</v>
      </c>
      <c r="Z172">
        <v>0</v>
      </c>
    </row>
    <row r="173" spans="1:26" ht="12.75">
      <c r="A173" s="319">
        <f>'Estimating Form'!$D$18/12+M956</f>
        <v>1.3333333333333333</v>
      </c>
      <c r="B173" s="3" t="s">
        <v>31</v>
      </c>
      <c r="C173" s="7"/>
      <c r="D173" s="7"/>
      <c r="E173" s="7"/>
      <c r="F173" s="7"/>
      <c r="G173" s="7"/>
      <c r="J173">
        <f>VLOOKUP(A172,M169:Z200,7,FALSE)</f>
        <v>16.332999999999998</v>
      </c>
      <c r="K173" s="4" t="s">
        <v>32</v>
      </c>
      <c r="M173" s="22" t="s">
        <v>33</v>
      </c>
      <c r="N173" s="13">
        <v>492</v>
      </c>
      <c r="O173" s="13">
        <v>11.781000000000001</v>
      </c>
      <c r="P173" s="13">
        <v>5.94</v>
      </c>
      <c r="Q173" s="13">
        <v>8.33</v>
      </c>
      <c r="R173" s="13">
        <v>1.1839999999999999</v>
      </c>
      <c r="S173" s="13">
        <v>20.213999999999999</v>
      </c>
      <c r="T173" s="13">
        <v>0</v>
      </c>
      <c r="U173" s="13">
        <v>3</v>
      </c>
      <c r="V173" s="13">
        <v>6.75</v>
      </c>
      <c r="W173" s="13">
        <v>9.375</v>
      </c>
      <c r="X173" s="13">
        <v>22</v>
      </c>
      <c r="Y173" s="13">
        <v>10.47</v>
      </c>
      <c r="Z173" s="13">
        <v>0</v>
      </c>
    </row>
    <row r="174" spans="1:26" ht="12.75">
      <c r="A174" s="11">
        <v>0</v>
      </c>
      <c r="B174" s="3" t="s">
        <v>34</v>
      </c>
      <c r="C174" s="7"/>
      <c r="D174" s="7"/>
      <c r="E174" s="7"/>
      <c r="F174" s="7"/>
      <c r="G174" s="7"/>
      <c r="J174">
        <f>VLOOKUP(A172,M169:Z199,6,FALSE)</f>
        <v>1.8160000000000001</v>
      </c>
      <c r="K174" s="4" t="s">
        <v>35</v>
      </c>
      <c r="M174" s="21" t="s">
        <v>36</v>
      </c>
      <c r="N174">
        <v>594</v>
      </c>
      <c r="O174">
        <v>14.93</v>
      </c>
      <c r="P174">
        <v>3.3490000000000002</v>
      </c>
      <c r="Q174">
        <v>7.0650000000000004</v>
      </c>
      <c r="R174">
        <v>1.452</v>
      </c>
      <c r="S174">
        <v>11.396000000000001</v>
      </c>
      <c r="T174">
        <v>9.3125</v>
      </c>
      <c r="U174">
        <v>3</v>
      </c>
      <c r="V174">
        <v>5.5</v>
      </c>
      <c r="W174">
        <v>8.8125</v>
      </c>
      <c r="X174">
        <v>29</v>
      </c>
      <c r="Y174">
        <v>9.52</v>
      </c>
      <c r="Z174">
        <v>16.670000000000002</v>
      </c>
    </row>
    <row r="175" spans="1:26" ht="12.75">
      <c r="A175" s="11">
        <f>'Estimating Form'!$G$22</f>
        <v>0</v>
      </c>
      <c r="B175" s="3" t="s">
        <v>37</v>
      </c>
      <c r="C175" s="7"/>
      <c r="D175" s="7"/>
      <c r="E175" s="7"/>
      <c r="F175" s="7"/>
      <c r="G175" s="7"/>
      <c r="J175">
        <f>(A173*12+A174)</f>
        <v>16</v>
      </c>
      <c r="K175" s="4" t="s">
        <v>38</v>
      </c>
      <c r="M175" s="21" t="s">
        <v>39</v>
      </c>
      <c r="N175">
        <v>594</v>
      </c>
      <c r="O175">
        <v>14.93</v>
      </c>
      <c r="P175">
        <v>5.5170000000000003</v>
      </c>
      <c r="Q175">
        <v>10.686999999999999</v>
      </c>
      <c r="R175">
        <v>1.3919999999999999</v>
      </c>
      <c r="S175">
        <v>18.771999999999998</v>
      </c>
      <c r="T175">
        <v>9.3125</v>
      </c>
      <c r="U175">
        <v>3</v>
      </c>
      <c r="V175">
        <v>5.5</v>
      </c>
      <c r="W175">
        <v>8.8125</v>
      </c>
      <c r="X175">
        <v>29</v>
      </c>
      <c r="Y175">
        <v>9.52</v>
      </c>
      <c r="Z175">
        <v>16.670000000000002</v>
      </c>
    </row>
    <row r="176" spans="1:26" ht="12.75">
      <c r="A176" s="11">
        <f>'Estimating Form'!$D$20</f>
        <v>0</v>
      </c>
      <c r="B176" s="3" t="s">
        <v>40</v>
      </c>
      <c r="C176" s="7"/>
      <c r="D176" s="7"/>
      <c r="E176" s="7"/>
      <c r="F176" s="7"/>
      <c r="G176" s="7"/>
      <c r="J176">
        <f>(A173+A174/12)</f>
        <v>1.3333333333333333</v>
      </c>
      <c r="K176" s="4" t="s">
        <v>41</v>
      </c>
      <c r="M176" s="22" t="s">
        <v>42</v>
      </c>
      <c r="N176" s="13">
        <v>594</v>
      </c>
      <c r="O176" s="13">
        <v>14.93</v>
      </c>
      <c r="P176" s="13">
        <v>7.1269999999999998</v>
      </c>
      <c r="Q176" s="13">
        <v>12.893000000000001</v>
      </c>
      <c r="R176" s="13">
        <v>1.345</v>
      </c>
      <c r="S176" s="13">
        <v>24.251999999999999</v>
      </c>
      <c r="T176" s="13">
        <v>9.3125</v>
      </c>
      <c r="U176" s="13">
        <v>3</v>
      </c>
      <c r="V176" s="13">
        <v>5.5</v>
      </c>
      <c r="W176" s="13">
        <v>8.8125</v>
      </c>
      <c r="X176" s="13">
        <v>29</v>
      </c>
      <c r="Y176" s="13">
        <v>9.52</v>
      </c>
      <c r="Z176" s="13">
        <v>16.670000000000002</v>
      </c>
    </row>
    <row r="177" spans="1:26" ht="12.75">
      <c r="A177" s="11">
        <v>0</v>
      </c>
      <c r="B177" s="3" t="s">
        <v>43</v>
      </c>
      <c r="C177" s="7"/>
      <c r="D177" s="7"/>
      <c r="E177" s="7"/>
      <c r="F177" s="7"/>
      <c r="G177" s="7"/>
      <c r="M177" s="21" t="s">
        <v>44</v>
      </c>
      <c r="N177">
        <v>630</v>
      </c>
      <c r="O177">
        <v>23.114999999999998</v>
      </c>
      <c r="P177">
        <v>4.8</v>
      </c>
      <c r="Q177">
        <v>15.824999999999999</v>
      </c>
      <c r="R177">
        <v>1.8160000000000001</v>
      </c>
      <c r="S177">
        <v>16.332999999999998</v>
      </c>
      <c r="T177">
        <v>9.75</v>
      </c>
      <c r="U177">
        <v>3</v>
      </c>
      <c r="V177">
        <v>5.5</v>
      </c>
      <c r="W177">
        <v>9.1875</v>
      </c>
      <c r="X177">
        <v>43</v>
      </c>
      <c r="Y177">
        <v>6.95</v>
      </c>
      <c r="Z177">
        <v>10.9</v>
      </c>
    </row>
    <row r="178" spans="1:26" ht="12.75">
      <c r="A178" s="7"/>
      <c r="B178" s="7"/>
      <c r="C178" s="7"/>
      <c r="D178" s="7"/>
      <c r="E178" s="7"/>
      <c r="F178" s="7"/>
      <c r="G178" s="7"/>
      <c r="J178">
        <f>(J170*J171/(J172+(J173*J176/2)))*(J174/J175)^2</f>
        <v>1618464.2747811181</v>
      </c>
      <c r="M178" s="21" t="s">
        <v>45</v>
      </c>
      <c r="N178">
        <v>630</v>
      </c>
      <c r="O178">
        <v>23.114999999999998</v>
      </c>
      <c r="P178">
        <v>6.59</v>
      </c>
      <c r="Q178">
        <v>20.786000000000001</v>
      </c>
      <c r="R178">
        <v>1.776</v>
      </c>
      <c r="S178">
        <v>22.422000000000001</v>
      </c>
      <c r="T178">
        <v>9.75</v>
      </c>
      <c r="U178">
        <v>3</v>
      </c>
      <c r="V178">
        <v>5.5</v>
      </c>
      <c r="W178">
        <v>9.1875</v>
      </c>
      <c r="X178">
        <v>43</v>
      </c>
      <c r="Y178">
        <v>6.95</v>
      </c>
      <c r="Z178">
        <v>10.9</v>
      </c>
    </row>
    <row r="179" spans="1:26" ht="12.75">
      <c r="A179" s="12">
        <f>(J178)</f>
        <v>1618464.2747811181</v>
      </c>
      <c r="B179" s="3" t="s">
        <v>46</v>
      </c>
      <c r="C179" s="7"/>
      <c r="D179" s="7"/>
      <c r="E179" s="7"/>
      <c r="F179" s="7"/>
      <c r="G179" s="7"/>
      <c r="M179" s="21" t="s">
        <v>47</v>
      </c>
      <c r="N179">
        <v>630</v>
      </c>
      <c r="O179">
        <v>23.114999999999998</v>
      </c>
      <c r="P179">
        <v>8.5050000000000008</v>
      </c>
      <c r="Q179">
        <v>25.532</v>
      </c>
      <c r="R179">
        <v>1.7330000000000001</v>
      </c>
      <c r="S179">
        <v>28.94</v>
      </c>
      <c r="T179">
        <v>9.75</v>
      </c>
      <c r="U179">
        <v>3</v>
      </c>
      <c r="V179">
        <v>5.5</v>
      </c>
      <c r="W179">
        <v>9.1875</v>
      </c>
      <c r="X179">
        <v>43</v>
      </c>
      <c r="Y179">
        <v>6.95</v>
      </c>
      <c r="Z179">
        <v>10.9</v>
      </c>
    </row>
    <row r="180" spans="1:26" ht="12.75">
      <c r="A180" s="12">
        <f>(J184)</f>
        <v>0</v>
      </c>
      <c r="B180" s="3" t="s">
        <v>48</v>
      </c>
      <c r="C180" s="7"/>
      <c r="D180" s="7"/>
      <c r="E180" s="7"/>
      <c r="F180" s="7"/>
      <c r="G180" s="7"/>
      <c r="J180" s="4" t="s">
        <v>49</v>
      </c>
      <c r="M180" s="22" t="s">
        <v>50</v>
      </c>
      <c r="N180" s="13">
        <v>234</v>
      </c>
      <c r="O180" s="13">
        <v>23.114999999999998</v>
      </c>
      <c r="P180" s="13">
        <v>10.148999999999999</v>
      </c>
      <c r="Q180" s="13">
        <v>29.140999999999998</v>
      </c>
      <c r="R180" s="13">
        <v>1.694</v>
      </c>
      <c r="S180" s="13">
        <v>34.436</v>
      </c>
      <c r="T180" s="13">
        <v>9.75</v>
      </c>
      <c r="U180" s="13">
        <v>3</v>
      </c>
      <c r="V180" s="13">
        <v>5.5</v>
      </c>
      <c r="W180" s="13">
        <v>9.1875</v>
      </c>
      <c r="X180" s="13">
        <v>43</v>
      </c>
      <c r="Y180" s="13">
        <v>6.95</v>
      </c>
      <c r="Z180" s="13">
        <v>10.9</v>
      </c>
    </row>
    <row r="181" spans="1:26" ht="12.75">
      <c r="A181" s="11">
        <f>'Estimating Form'!$D$18/12+M957</f>
        <v>1.7708333333333333</v>
      </c>
      <c r="B181" s="3" t="s">
        <v>957</v>
      </c>
      <c r="J181">
        <f>VLOOKUP(A172,M169:Z199,IF(A177=1,13,12)+1,FALSE)</f>
        <v>6.95</v>
      </c>
      <c r="K181" s="4" t="s">
        <v>51</v>
      </c>
      <c r="M181" s="21" t="s">
        <v>27</v>
      </c>
      <c r="N181">
        <v>630</v>
      </c>
      <c r="O181">
        <v>33.03</v>
      </c>
      <c r="P181">
        <v>5.9219999999999997</v>
      </c>
      <c r="Q181">
        <v>28.338999999999999</v>
      </c>
      <c r="R181">
        <v>2.1880000000000002</v>
      </c>
      <c r="S181">
        <v>20.149999999999999</v>
      </c>
      <c r="T181">
        <v>9.75</v>
      </c>
      <c r="U181">
        <v>3</v>
      </c>
      <c r="V181">
        <v>5.5</v>
      </c>
      <c r="W181">
        <v>9.1875</v>
      </c>
      <c r="X181">
        <v>43</v>
      </c>
      <c r="Y181">
        <v>3.41</v>
      </c>
      <c r="Z181">
        <v>5.34</v>
      </c>
    </row>
    <row r="182" spans="1:26">
      <c r="A182" s="8"/>
      <c r="B182" s="4"/>
      <c r="J182">
        <f>(A176)</f>
        <v>0</v>
      </c>
      <c r="K182" s="4" t="s">
        <v>52</v>
      </c>
      <c r="M182" s="21" t="s">
        <v>53</v>
      </c>
      <c r="N182">
        <v>630</v>
      </c>
      <c r="O182">
        <v>33.03</v>
      </c>
      <c r="P182">
        <v>9.2799999999999994</v>
      </c>
      <c r="Q182">
        <v>41.933</v>
      </c>
      <c r="R182">
        <v>2.1259999999999999</v>
      </c>
      <c r="S182">
        <v>31.579000000000001</v>
      </c>
      <c r="T182">
        <v>9.75</v>
      </c>
      <c r="U182">
        <v>3</v>
      </c>
      <c r="V182">
        <v>5.5</v>
      </c>
      <c r="W182">
        <v>9.1875</v>
      </c>
      <c r="X182">
        <v>43</v>
      </c>
      <c r="Y182">
        <v>3.41</v>
      </c>
      <c r="Z182">
        <v>5.34</v>
      </c>
    </row>
    <row r="183" spans="1:26">
      <c r="A183" s="8"/>
      <c r="B183" s="9"/>
      <c r="M183" s="21" t="s">
        <v>54</v>
      </c>
      <c r="N183">
        <v>630</v>
      </c>
      <c r="O183">
        <v>33.03</v>
      </c>
      <c r="P183">
        <v>11.898999999999999</v>
      </c>
      <c r="Q183">
        <v>51.284999999999997</v>
      </c>
      <c r="R183">
        <v>2.0760000000000001</v>
      </c>
      <c r="S183">
        <v>40.488999999999997</v>
      </c>
      <c r="T183">
        <v>9.75</v>
      </c>
      <c r="U183">
        <v>3</v>
      </c>
      <c r="V183">
        <v>5.5</v>
      </c>
      <c r="W183">
        <v>9.1875</v>
      </c>
      <c r="X183">
        <v>43</v>
      </c>
      <c r="Y183">
        <v>3.41</v>
      </c>
      <c r="Z183">
        <v>5.34</v>
      </c>
    </row>
    <row r="184" spans="1:26">
      <c r="A184" s="8"/>
      <c r="B184" s="9"/>
      <c r="J184">
        <f>(J181*(J176+4)*J182*10^-6)</f>
        <v>0</v>
      </c>
      <c r="M184" s="22" t="s">
        <v>55</v>
      </c>
      <c r="N184" s="13">
        <v>630</v>
      </c>
      <c r="O184" s="13">
        <v>33.03</v>
      </c>
      <c r="P184" s="13">
        <v>14.196</v>
      </c>
      <c r="Q184" s="13">
        <v>58.588999999999999</v>
      </c>
      <c r="R184" s="13">
        <v>2.032</v>
      </c>
      <c r="S184" s="13">
        <v>48.304000000000002</v>
      </c>
      <c r="T184" s="13">
        <v>9.75</v>
      </c>
      <c r="U184" s="13">
        <v>3</v>
      </c>
      <c r="V184" s="13">
        <v>5.5</v>
      </c>
      <c r="W184" s="13">
        <v>9.1875</v>
      </c>
      <c r="X184" s="13">
        <v>43</v>
      </c>
      <c r="Y184" s="13">
        <v>3.41</v>
      </c>
      <c r="Z184" s="13">
        <v>5.34</v>
      </c>
    </row>
    <row r="185" spans="1:26">
      <c r="A185" s="8"/>
      <c r="M185" s="21" t="s">
        <v>56</v>
      </c>
      <c r="N185">
        <v>630</v>
      </c>
      <c r="O185">
        <v>44.031999999999996</v>
      </c>
      <c r="P185">
        <v>8.109</v>
      </c>
      <c r="Q185">
        <v>51.593000000000004</v>
      </c>
      <c r="R185">
        <v>2.5219999999999998</v>
      </c>
      <c r="S185">
        <v>27.591999999999999</v>
      </c>
      <c r="T185">
        <v>10.9375</v>
      </c>
      <c r="U185">
        <v>2.5</v>
      </c>
      <c r="V185">
        <v>6</v>
      </c>
      <c r="W185">
        <v>9.9375</v>
      </c>
      <c r="X185">
        <v>61</v>
      </c>
      <c r="Y185">
        <v>3</v>
      </c>
      <c r="Z185">
        <v>4.29</v>
      </c>
    </row>
    <row r="186" spans="1:26">
      <c r="A186" s="8"/>
      <c r="B186" s="9"/>
      <c r="M186" s="21" t="s">
        <v>57</v>
      </c>
      <c r="N186">
        <v>630</v>
      </c>
      <c r="O186">
        <v>44.031999999999996</v>
      </c>
      <c r="P186">
        <v>9.4350000000000005</v>
      </c>
      <c r="Q186">
        <v>59.033999999999999</v>
      </c>
      <c r="R186">
        <v>2.5009999999999999</v>
      </c>
      <c r="S186">
        <v>32.103999999999999</v>
      </c>
      <c r="T186">
        <v>10.9375</v>
      </c>
      <c r="U186">
        <v>2.5</v>
      </c>
      <c r="V186">
        <v>6</v>
      </c>
      <c r="W186">
        <v>9.9375</v>
      </c>
      <c r="X186">
        <v>61</v>
      </c>
      <c r="Y186">
        <v>3</v>
      </c>
      <c r="Z186">
        <v>4.29</v>
      </c>
    </row>
    <row r="187" spans="1:26" ht="15.75">
      <c r="A187" s="37"/>
      <c r="B187" s="97"/>
      <c r="C187" s="515" t="s">
        <v>93</v>
      </c>
      <c r="D187" s="515"/>
      <c r="E187" s="40">
        <f>(B188-A176)/(O177)-(0.39*A173)</f>
        <v>1.0285885788449058</v>
      </c>
      <c r="M187" s="23" t="s">
        <v>59</v>
      </c>
      <c r="N187">
        <v>630</v>
      </c>
      <c r="O187">
        <v>44.031999999999996</v>
      </c>
      <c r="P187">
        <v>14.49</v>
      </c>
      <c r="Q187">
        <v>84.834000000000003</v>
      </c>
      <c r="R187">
        <v>2.42</v>
      </c>
      <c r="S187">
        <v>49.305</v>
      </c>
      <c r="T187">
        <v>10.9375</v>
      </c>
      <c r="U187">
        <v>2.5</v>
      </c>
      <c r="V187">
        <v>6</v>
      </c>
      <c r="W187">
        <v>9.9375</v>
      </c>
      <c r="X187">
        <v>61</v>
      </c>
      <c r="Y187">
        <v>3</v>
      </c>
      <c r="Z187">
        <v>4.29</v>
      </c>
    </row>
    <row r="188" spans="1:26" ht="15.75">
      <c r="A188" s="37" t="s">
        <v>98</v>
      </c>
      <c r="B188" s="41">
        <f>A175+B192</f>
        <v>35.795624999999994</v>
      </c>
      <c r="C188" s="516" t="s">
        <v>99</v>
      </c>
      <c r="D188" s="516"/>
      <c r="E188" s="42">
        <f>((B188/(O177))*1.1)</f>
        <v>1.7034474367293966</v>
      </c>
      <c r="M188" s="24" t="s">
        <v>58</v>
      </c>
      <c r="N188" s="13">
        <v>630</v>
      </c>
      <c r="O188" s="13">
        <v>44.031999999999996</v>
      </c>
      <c r="P188" s="13">
        <v>19.181000000000001</v>
      </c>
      <c r="Q188" s="13">
        <v>105.14</v>
      </c>
      <c r="R188" s="13">
        <v>2.3410000000000002</v>
      </c>
      <c r="S188" s="13">
        <v>65.268000000000001</v>
      </c>
      <c r="T188" s="13">
        <v>10.9375</v>
      </c>
      <c r="U188" s="13">
        <v>2.5</v>
      </c>
      <c r="V188" s="13">
        <v>6</v>
      </c>
      <c r="W188" s="13">
        <v>9.9375</v>
      </c>
      <c r="X188" s="13">
        <v>61</v>
      </c>
      <c r="Y188" s="13">
        <v>3</v>
      </c>
      <c r="Z188" s="13">
        <v>4.29</v>
      </c>
    </row>
    <row r="189" spans="1:26" ht="15">
      <c r="A189" s="37"/>
      <c r="B189" s="38"/>
      <c r="C189" s="517" t="s">
        <v>106</v>
      </c>
      <c r="D189" s="514" t="str">
        <f>IF(E187&gt;90,"Good!","Too Low, increase GLOPU or decrease jack diameter, if above 50 use ASK ENGINEERING")</f>
        <v>Too Low, increase GLOPU or decrease jack diameter, if above 50 use ASK ENGINEERING</v>
      </c>
      <c r="E189" s="514"/>
      <c r="F189" s="10"/>
      <c r="M189" s="21" t="s">
        <v>60</v>
      </c>
      <c r="N189">
        <v>630</v>
      </c>
      <c r="O189">
        <v>56.578000000000003</v>
      </c>
      <c r="P189">
        <v>9.2829999999999995</v>
      </c>
      <c r="Q189">
        <v>76.736999999999995</v>
      </c>
      <c r="R189">
        <v>2.875</v>
      </c>
      <c r="S189">
        <v>31.588999999999999</v>
      </c>
      <c r="T189">
        <v>10.9375</v>
      </c>
      <c r="U189">
        <v>2.5</v>
      </c>
      <c r="V189">
        <v>6</v>
      </c>
      <c r="W189">
        <v>9.9375</v>
      </c>
      <c r="X189">
        <v>61</v>
      </c>
      <c r="Y189">
        <v>1.82</v>
      </c>
      <c r="Z189">
        <v>2.6</v>
      </c>
    </row>
    <row r="190" spans="1:26" ht="15.75" thickBot="1">
      <c r="A190" s="37"/>
      <c r="B190" s="44"/>
      <c r="C190" s="518"/>
      <c r="D190" s="519"/>
      <c r="E190" s="519"/>
      <c r="M190" s="21" t="s">
        <v>61</v>
      </c>
      <c r="N190">
        <v>630</v>
      </c>
      <c r="O190">
        <v>56.578000000000003</v>
      </c>
      <c r="P190">
        <v>10.734999999999999</v>
      </c>
      <c r="Q190">
        <v>87.494</v>
      </c>
      <c r="R190">
        <v>2.855</v>
      </c>
      <c r="S190">
        <v>36.527999999999999</v>
      </c>
      <c r="T190">
        <v>10.9375</v>
      </c>
      <c r="U190">
        <v>2.5</v>
      </c>
      <c r="V190">
        <v>6</v>
      </c>
      <c r="W190">
        <v>9.9375</v>
      </c>
      <c r="X190">
        <v>61</v>
      </c>
      <c r="Y190">
        <v>1.82</v>
      </c>
      <c r="Z190">
        <v>2.6</v>
      </c>
    </row>
    <row r="191" spans="1:26" ht="15">
      <c r="A191" s="37"/>
      <c r="B191" s="39"/>
      <c r="C191" s="512" t="s">
        <v>118</v>
      </c>
      <c r="D191" s="514" t="str">
        <f>IF(E188&gt;500,"Too High, reduce GLOPU or increase plunger diameter","Good!")</f>
        <v>Good!</v>
      </c>
      <c r="E191" s="514"/>
      <c r="M191" s="24" t="s">
        <v>70</v>
      </c>
      <c r="N191" s="13">
        <v>630</v>
      </c>
      <c r="O191" s="13">
        <v>56.578000000000003</v>
      </c>
      <c r="P191" s="13">
        <v>15.885999999999999</v>
      </c>
      <c r="Q191" s="13">
        <v>122.965</v>
      </c>
      <c r="R191" s="13">
        <v>2.782</v>
      </c>
      <c r="S191" s="13">
        <v>54.055</v>
      </c>
      <c r="T191" s="13">
        <v>10.9375</v>
      </c>
      <c r="U191" s="13">
        <v>2.5</v>
      </c>
      <c r="V191" s="13">
        <v>6</v>
      </c>
      <c r="W191" s="13">
        <v>9.9375</v>
      </c>
      <c r="X191" s="13">
        <v>61</v>
      </c>
      <c r="Y191" s="13">
        <v>1.82</v>
      </c>
      <c r="Z191" s="13">
        <v>2.6</v>
      </c>
    </row>
    <row r="192" spans="1:26" ht="15">
      <c r="A192" s="46" t="s">
        <v>122</v>
      </c>
      <c r="B192" s="96">
        <f>S173*A181</f>
        <v>35.795624999999994</v>
      </c>
      <c r="C192" s="513"/>
      <c r="D192" s="514"/>
      <c r="E192" s="514"/>
      <c r="M192" s="21" t="s">
        <v>62</v>
      </c>
      <c r="N192">
        <v>537</v>
      </c>
      <c r="O192">
        <v>70.695999999999998</v>
      </c>
      <c r="P192">
        <v>12.27</v>
      </c>
      <c r="Q192">
        <v>126.072</v>
      </c>
      <c r="R192">
        <v>3.2050000000000001</v>
      </c>
      <c r="S192">
        <v>41.75</v>
      </c>
      <c r="T192">
        <v>14.375</v>
      </c>
      <c r="U192">
        <v>2.5</v>
      </c>
      <c r="V192">
        <v>6</v>
      </c>
      <c r="W192">
        <v>12.9375</v>
      </c>
      <c r="X192">
        <v>80</v>
      </c>
      <c r="Y192">
        <v>1.66</v>
      </c>
      <c r="Z192">
        <v>2.62</v>
      </c>
    </row>
    <row r="193" spans="1:26">
      <c r="E193" s="10"/>
      <c r="F193" s="10"/>
      <c r="M193" s="22" t="s">
        <v>63</v>
      </c>
      <c r="N193" s="13">
        <v>537</v>
      </c>
      <c r="O193" s="13">
        <v>70.695999999999998</v>
      </c>
      <c r="P193" s="13">
        <v>18.847000000000001</v>
      </c>
      <c r="Q193" s="13">
        <v>183.79400000000001</v>
      </c>
      <c r="R193" s="13">
        <v>3.1230000000000002</v>
      </c>
      <c r="S193" s="13">
        <v>64.132000000000005</v>
      </c>
      <c r="T193" s="13">
        <v>14.375</v>
      </c>
      <c r="U193" s="13">
        <v>2.5</v>
      </c>
      <c r="V193" s="13">
        <v>6</v>
      </c>
      <c r="W193" s="13">
        <v>12.9375</v>
      </c>
      <c r="X193" s="13">
        <v>80</v>
      </c>
      <c r="Y193" s="13">
        <v>1.66</v>
      </c>
      <c r="Z193" s="13">
        <v>2.62</v>
      </c>
    </row>
    <row r="194" spans="1:26">
      <c r="A194" s="8"/>
      <c r="B194" s="9"/>
      <c r="M194" s="21" t="s">
        <v>64</v>
      </c>
      <c r="N194">
        <v>537</v>
      </c>
      <c r="O194">
        <v>88.456000000000003</v>
      </c>
      <c r="P194">
        <v>13.656000000000001</v>
      </c>
      <c r="Q194">
        <v>177.40799999999999</v>
      </c>
      <c r="R194">
        <v>3.6040000000000001</v>
      </c>
      <c r="S194">
        <v>46.466999999999999</v>
      </c>
      <c r="T194">
        <v>14.375</v>
      </c>
      <c r="U194">
        <v>2.5</v>
      </c>
      <c r="V194">
        <v>6</v>
      </c>
      <c r="W194">
        <v>13.3125</v>
      </c>
      <c r="X194">
        <v>80</v>
      </c>
      <c r="Y194">
        <v>1.06</v>
      </c>
      <c r="Z194">
        <v>1.67</v>
      </c>
    </row>
    <row r="195" spans="1:26">
      <c r="B195" s="9"/>
      <c r="M195" s="21" t="s">
        <v>65</v>
      </c>
      <c r="N195">
        <v>537</v>
      </c>
      <c r="O195">
        <v>88.456000000000003</v>
      </c>
      <c r="P195">
        <v>16.48</v>
      </c>
      <c r="Q195">
        <v>210.39400000000001</v>
      </c>
      <c r="R195">
        <v>3.573</v>
      </c>
      <c r="S195">
        <v>56.076999999999998</v>
      </c>
      <c r="T195">
        <v>14.375</v>
      </c>
      <c r="U195">
        <v>2.5</v>
      </c>
      <c r="V195">
        <v>6</v>
      </c>
      <c r="W195">
        <v>13.3125</v>
      </c>
      <c r="X195">
        <v>80</v>
      </c>
      <c r="Y195">
        <v>1.06</v>
      </c>
      <c r="Z195">
        <v>1.67</v>
      </c>
    </row>
    <row r="196" spans="1:26">
      <c r="B196" s="9"/>
      <c r="M196" s="22" t="s">
        <v>66</v>
      </c>
      <c r="N196" s="13">
        <v>537</v>
      </c>
      <c r="O196" s="13">
        <v>88.456000000000003</v>
      </c>
      <c r="P196" s="13">
        <v>20.350999999999999</v>
      </c>
      <c r="Q196" s="13">
        <v>253.547</v>
      </c>
      <c r="R196" s="13">
        <v>3.53</v>
      </c>
      <c r="S196" s="13">
        <v>69.248999999999995</v>
      </c>
      <c r="T196" s="13">
        <v>14.375</v>
      </c>
      <c r="U196" s="13">
        <v>2.5</v>
      </c>
      <c r="V196" s="13">
        <v>6</v>
      </c>
      <c r="W196" s="13">
        <v>13.3125</v>
      </c>
      <c r="X196" s="13">
        <v>80</v>
      </c>
      <c r="Y196" s="13">
        <v>1.06</v>
      </c>
      <c r="Z196" s="13">
        <v>1.67</v>
      </c>
    </row>
    <row r="197" spans="1:26">
      <c r="M197" s="21" t="s">
        <v>67</v>
      </c>
      <c r="N197">
        <v>449</v>
      </c>
      <c r="O197">
        <v>124.937</v>
      </c>
      <c r="P197">
        <v>16.503</v>
      </c>
      <c r="Q197">
        <v>306.48500000000001</v>
      </c>
      <c r="R197">
        <v>4.3090000000000002</v>
      </c>
      <c r="S197">
        <v>56.155999999999999</v>
      </c>
      <c r="T197">
        <v>0</v>
      </c>
      <c r="U197">
        <v>2.5</v>
      </c>
      <c r="V197">
        <v>6</v>
      </c>
      <c r="W197">
        <v>15.3125</v>
      </c>
      <c r="X197">
        <v>125</v>
      </c>
      <c r="Y197">
        <v>0.83899999999999997</v>
      </c>
      <c r="Z197">
        <v>0</v>
      </c>
    </row>
    <row r="198" spans="1:26">
      <c r="M198" s="22" t="s">
        <v>68</v>
      </c>
      <c r="N198" s="13">
        <v>449</v>
      </c>
      <c r="O198" s="13">
        <v>124.937</v>
      </c>
      <c r="P198" s="13">
        <v>18.78</v>
      </c>
      <c r="Q198" s="13">
        <v>345.36099999999999</v>
      </c>
      <c r="R198" s="13">
        <v>4.2880000000000003</v>
      </c>
      <c r="S198" s="13">
        <v>63.902999999999999</v>
      </c>
      <c r="T198" s="13">
        <v>0</v>
      </c>
      <c r="U198" s="13">
        <v>2.5</v>
      </c>
      <c r="V198" s="13">
        <v>6</v>
      </c>
      <c r="W198" s="13">
        <v>15.3125</v>
      </c>
      <c r="X198" s="13">
        <v>125</v>
      </c>
      <c r="Y198" s="13">
        <v>0.83899999999999997</v>
      </c>
      <c r="Z198" s="13">
        <v>0</v>
      </c>
    </row>
    <row r="199" spans="1:26">
      <c r="M199" s="22" t="s">
        <v>69</v>
      </c>
      <c r="N199" s="14">
        <v>449</v>
      </c>
      <c r="O199" s="14">
        <v>194.51900000000001</v>
      </c>
      <c r="P199" s="14">
        <v>25.079000000000001</v>
      </c>
      <c r="Q199" s="14">
        <v>726.36</v>
      </c>
      <c r="R199" s="14">
        <v>5.3819999999999997</v>
      </c>
      <c r="S199" s="14">
        <v>85.337000000000003</v>
      </c>
      <c r="T199" s="14">
        <v>0</v>
      </c>
      <c r="U199" s="14">
        <v>6</v>
      </c>
      <c r="V199" s="14">
        <v>6</v>
      </c>
      <c r="W199" s="14">
        <v>15.375</v>
      </c>
      <c r="X199" s="14">
        <v>192</v>
      </c>
      <c r="Y199" s="14">
        <v>0.54300000000000004</v>
      </c>
      <c r="Z199" s="14">
        <v>0</v>
      </c>
    </row>
    <row r="202" spans="1:26" ht="12.75">
      <c r="A202" s="3"/>
      <c r="B202" s="15"/>
      <c r="C202" s="16"/>
      <c r="D202" s="16"/>
      <c r="E202" s="16"/>
      <c r="F202" s="16"/>
      <c r="G202" s="20"/>
      <c r="H202" s="4" t="s">
        <v>1</v>
      </c>
      <c r="J202" s="4" t="s">
        <v>2</v>
      </c>
      <c r="M202" s="4" t="s">
        <v>3</v>
      </c>
    </row>
    <row r="203" spans="1:26" ht="12.75">
      <c r="A203" s="1"/>
      <c r="B203" s="1"/>
      <c r="C203" s="1"/>
      <c r="D203" s="1"/>
      <c r="E203" s="1"/>
      <c r="F203" s="1"/>
      <c r="G203" s="1"/>
      <c r="J203" s="5">
        <f>2.85*10^8</f>
        <v>285000000</v>
      </c>
      <c r="K203" s="4" t="s">
        <v>4</v>
      </c>
      <c r="N203" s="4" t="s">
        <v>5</v>
      </c>
      <c r="O203" s="6" t="s">
        <v>6</v>
      </c>
      <c r="P203" s="6" t="s">
        <v>7</v>
      </c>
      <c r="Q203" s="6" t="s">
        <v>8</v>
      </c>
      <c r="R203" s="6" t="s">
        <v>9</v>
      </c>
      <c r="S203" s="6" t="s">
        <v>10</v>
      </c>
      <c r="T203" s="6" t="s">
        <v>11</v>
      </c>
      <c r="U203" s="6" t="s">
        <v>11</v>
      </c>
      <c r="V203" s="6" t="s">
        <v>11</v>
      </c>
      <c r="W203" s="6" t="s">
        <v>11</v>
      </c>
      <c r="X203" s="6" t="s">
        <v>12</v>
      </c>
      <c r="Y203" s="520" t="s">
        <v>13</v>
      </c>
      <c r="Z203" s="520"/>
    </row>
    <row r="204" spans="1:26" ht="12.75">
      <c r="A204" s="1"/>
      <c r="B204" s="1"/>
      <c r="C204" s="1"/>
      <c r="D204" s="1"/>
      <c r="E204" s="1"/>
      <c r="F204" s="1"/>
      <c r="G204" s="1"/>
      <c r="J204">
        <f>VLOOKUP(A205,M202:Z232,4,FALSE)</f>
        <v>6.59</v>
      </c>
      <c r="K204" s="4" t="s">
        <v>14</v>
      </c>
      <c r="M204" s="4" t="s">
        <v>15</v>
      </c>
      <c r="N204" s="4" t="s">
        <v>16</v>
      </c>
      <c r="O204" s="6" t="s">
        <v>17</v>
      </c>
      <c r="P204" s="6" t="s">
        <v>17</v>
      </c>
      <c r="Q204" s="6" t="s">
        <v>18</v>
      </c>
      <c r="R204" s="6" t="s">
        <v>19</v>
      </c>
      <c r="S204" s="6" t="s">
        <v>20</v>
      </c>
      <c r="T204" s="6" t="s">
        <v>21</v>
      </c>
      <c r="U204" s="6" t="s">
        <v>22</v>
      </c>
      <c r="V204" s="6" t="s">
        <v>23</v>
      </c>
      <c r="W204" s="6" t="s">
        <v>24</v>
      </c>
      <c r="Y204" s="6" t="s">
        <v>25</v>
      </c>
      <c r="Z204" s="4" t="s">
        <v>26</v>
      </c>
    </row>
    <row r="205" spans="1:26" ht="12.75">
      <c r="A205" s="11" t="s">
        <v>45</v>
      </c>
      <c r="B205" s="3" t="s">
        <v>28</v>
      </c>
      <c r="C205" s="7"/>
      <c r="D205" s="7"/>
      <c r="E205" s="7"/>
      <c r="F205" s="7"/>
      <c r="G205" s="3" t="s">
        <v>1</v>
      </c>
      <c r="J205">
        <f>(A208)</f>
        <v>0</v>
      </c>
      <c r="K205" s="4" t="s">
        <v>29</v>
      </c>
      <c r="M205" s="21" t="s">
        <v>30</v>
      </c>
      <c r="N205">
        <v>492</v>
      </c>
      <c r="O205">
        <v>11.781000000000001</v>
      </c>
      <c r="P205">
        <v>2.8980000000000001</v>
      </c>
      <c r="Q205">
        <v>4.766</v>
      </c>
      <c r="R205">
        <v>1.282</v>
      </c>
      <c r="S205">
        <v>9.8620000000000001</v>
      </c>
      <c r="T205">
        <v>0</v>
      </c>
      <c r="U205">
        <v>3</v>
      </c>
      <c r="V205">
        <v>6.75</v>
      </c>
      <c r="W205">
        <v>9.375</v>
      </c>
      <c r="X205">
        <v>22</v>
      </c>
      <c r="Y205">
        <v>10.47</v>
      </c>
      <c r="Z205">
        <v>0</v>
      </c>
    </row>
    <row r="206" spans="1:26" ht="12.75">
      <c r="A206" s="319">
        <f>'Estimating Form'!$D$18/12+M956</f>
        <v>1.3333333333333333</v>
      </c>
      <c r="B206" s="3" t="s">
        <v>31</v>
      </c>
      <c r="C206" s="7"/>
      <c r="D206" s="7"/>
      <c r="E206" s="7"/>
      <c r="F206" s="7"/>
      <c r="G206" s="7"/>
      <c r="J206">
        <f>VLOOKUP(A205,M202:Z233,7,FALSE)</f>
        <v>22.422000000000001</v>
      </c>
      <c r="K206" s="4" t="s">
        <v>32</v>
      </c>
      <c r="M206" s="22" t="s">
        <v>33</v>
      </c>
      <c r="N206" s="13">
        <v>492</v>
      </c>
      <c r="O206" s="13">
        <v>11.781000000000001</v>
      </c>
      <c r="P206" s="13">
        <v>5.94</v>
      </c>
      <c r="Q206" s="13">
        <v>8.33</v>
      </c>
      <c r="R206" s="13">
        <v>1.1839999999999999</v>
      </c>
      <c r="S206" s="13">
        <v>20.213999999999999</v>
      </c>
      <c r="T206" s="13">
        <v>0</v>
      </c>
      <c r="U206" s="13">
        <v>3</v>
      </c>
      <c r="V206" s="13">
        <v>6.75</v>
      </c>
      <c r="W206" s="13">
        <v>9.375</v>
      </c>
      <c r="X206" s="13">
        <v>22</v>
      </c>
      <c r="Y206" s="13">
        <v>10.47</v>
      </c>
      <c r="Z206" s="13">
        <v>0</v>
      </c>
    </row>
    <row r="207" spans="1:26" ht="12.75">
      <c r="A207" s="11">
        <v>0</v>
      </c>
      <c r="B207" s="3" t="s">
        <v>34</v>
      </c>
      <c r="C207" s="7"/>
      <c r="D207" s="7"/>
      <c r="E207" s="7"/>
      <c r="F207" s="7"/>
      <c r="G207" s="7"/>
      <c r="J207">
        <f>VLOOKUP(A205,M202:Z232,6,FALSE)</f>
        <v>1.776</v>
      </c>
      <c r="K207" s="4" t="s">
        <v>35</v>
      </c>
      <c r="M207" s="21" t="s">
        <v>36</v>
      </c>
      <c r="N207">
        <v>594</v>
      </c>
      <c r="O207">
        <v>14.93</v>
      </c>
      <c r="P207">
        <v>3.3490000000000002</v>
      </c>
      <c r="Q207">
        <v>7.0650000000000004</v>
      </c>
      <c r="R207">
        <v>1.452</v>
      </c>
      <c r="S207">
        <v>11.396000000000001</v>
      </c>
      <c r="T207">
        <v>9.3125</v>
      </c>
      <c r="U207">
        <v>3</v>
      </c>
      <c r="V207">
        <v>5.5</v>
      </c>
      <c r="W207">
        <v>8.8125</v>
      </c>
      <c r="X207">
        <v>29</v>
      </c>
      <c r="Y207">
        <v>9.52</v>
      </c>
      <c r="Z207">
        <v>16.670000000000002</v>
      </c>
    </row>
    <row r="208" spans="1:26" ht="12.75">
      <c r="A208" s="11">
        <f>'Estimating Form'!$G$22</f>
        <v>0</v>
      </c>
      <c r="B208" s="3" t="s">
        <v>37</v>
      </c>
      <c r="C208" s="7"/>
      <c r="D208" s="7"/>
      <c r="E208" s="7"/>
      <c r="F208" s="7"/>
      <c r="G208" s="7"/>
      <c r="J208">
        <f>(A206*12+A207)</f>
        <v>16</v>
      </c>
      <c r="K208" s="4" t="s">
        <v>38</v>
      </c>
      <c r="M208" s="21" t="s">
        <v>39</v>
      </c>
      <c r="N208">
        <v>594</v>
      </c>
      <c r="O208">
        <v>14.93</v>
      </c>
      <c r="P208">
        <v>5.5170000000000003</v>
      </c>
      <c r="Q208">
        <v>10.686999999999999</v>
      </c>
      <c r="R208">
        <v>1.3919999999999999</v>
      </c>
      <c r="S208">
        <v>18.771999999999998</v>
      </c>
      <c r="T208">
        <v>9.3125</v>
      </c>
      <c r="U208">
        <v>3</v>
      </c>
      <c r="V208">
        <v>5.5</v>
      </c>
      <c r="W208">
        <v>8.8125</v>
      </c>
      <c r="X208">
        <v>29</v>
      </c>
      <c r="Y208">
        <v>9.52</v>
      </c>
      <c r="Z208">
        <v>16.670000000000002</v>
      </c>
    </row>
    <row r="209" spans="1:26" ht="12.75">
      <c r="A209" s="11">
        <f>'Estimating Form'!$D$20</f>
        <v>0</v>
      </c>
      <c r="B209" s="3" t="s">
        <v>40</v>
      </c>
      <c r="C209" s="7"/>
      <c r="D209" s="7"/>
      <c r="E209" s="7"/>
      <c r="F209" s="7"/>
      <c r="G209" s="7"/>
      <c r="J209">
        <f>(A206+A207/12)</f>
        <v>1.3333333333333333</v>
      </c>
      <c r="K209" s="4" t="s">
        <v>41</v>
      </c>
      <c r="M209" s="22" t="s">
        <v>42</v>
      </c>
      <c r="N209" s="13">
        <v>594</v>
      </c>
      <c r="O209" s="13">
        <v>14.93</v>
      </c>
      <c r="P209" s="13">
        <v>7.1269999999999998</v>
      </c>
      <c r="Q209" s="13">
        <v>12.893000000000001</v>
      </c>
      <c r="R209" s="13">
        <v>1.345</v>
      </c>
      <c r="S209" s="13">
        <v>24.251999999999999</v>
      </c>
      <c r="T209" s="13">
        <v>9.3125</v>
      </c>
      <c r="U209" s="13">
        <v>3</v>
      </c>
      <c r="V209" s="13">
        <v>5.5</v>
      </c>
      <c r="W209" s="13">
        <v>8.8125</v>
      </c>
      <c r="X209" s="13">
        <v>29</v>
      </c>
      <c r="Y209" s="13">
        <v>9.52</v>
      </c>
      <c r="Z209" s="13">
        <v>16.670000000000002</v>
      </c>
    </row>
    <row r="210" spans="1:26" ht="12.75">
      <c r="A210" s="11">
        <v>0</v>
      </c>
      <c r="B210" s="3" t="s">
        <v>43</v>
      </c>
      <c r="C210" s="7"/>
      <c r="D210" s="7"/>
      <c r="E210" s="7"/>
      <c r="F210" s="7"/>
      <c r="G210" s="7"/>
      <c r="M210" s="21" t="s">
        <v>44</v>
      </c>
      <c r="N210">
        <v>630</v>
      </c>
      <c r="O210">
        <v>23.114999999999998</v>
      </c>
      <c r="P210">
        <v>4.8</v>
      </c>
      <c r="Q210">
        <v>15.824999999999999</v>
      </c>
      <c r="R210">
        <v>1.8160000000000001</v>
      </c>
      <c r="S210">
        <v>16.332999999999998</v>
      </c>
      <c r="T210">
        <v>9.75</v>
      </c>
      <c r="U210">
        <v>3</v>
      </c>
      <c r="V210">
        <v>5.5</v>
      </c>
      <c r="W210">
        <v>9.1875</v>
      </c>
      <c r="X210">
        <v>43</v>
      </c>
      <c r="Y210">
        <v>6.95</v>
      </c>
      <c r="Z210">
        <v>10.9</v>
      </c>
    </row>
    <row r="211" spans="1:26" ht="12.75">
      <c r="A211" s="7"/>
      <c r="B211" s="7"/>
      <c r="C211" s="7"/>
      <c r="D211" s="7"/>
      <c r="E211" s="7"/>
      <c r="F211" s="7"/>
      <c r="G211" s="7"/>
      <c r="J211">
        <f>(J203*J204/(J205+(J206*J209/2)))*(J207/J208)^2</f>
        <v>1548079.0841584159</v>
      </c>
      <c r="M211" s="21" t="s">
        <v>45</v>
      </c>
      <c r="N211">
        <v>630</v>
      </c>
      <c r="O211">
        <v>23.114999999999998</v>
      </c>
      <c r="P211">
        <v>6.59</v>
      </c>
      <c r="Q211">
        <v>20.786000000000001</v>
      </c>
      <c r="R211">
        <v>1.776</v>
      </c>
      <c r="S211">
        <v>22.422000000000001</v>
      </c>
      <c r="T211">
        <v>9.75</v>
      </c>
      <c r="U211">
        <v>3</v>
      </c>
      <c r="V211">
        <v>5.5</v>
      </c>
      <c r="W211">
        <v>9.1875</v>
      </c>
      <c r="X211">
        <v>43</v>
      </c>
      <c r="Y211">
        <v>6.95</v>
      </c>
      <c r="Z211">
        <v>10.9</v>
      </c>
    </row>
    <row r="212" spans="1:26" ht="12.75">
      <c r="A212" s="12">
        <f>(J211)</f>
        <v>1548079.0841584159</v>
      </c>
      <c r="B212" s="3" t="s">
        <v>46</v>
      </c>
      <c r="C212" s="7"/>
      <c r="D212" s="7"/>
      <c r="E212" s="7"/>
      <c r="F212" s="7"/>
      <c r="G212" s="7"/>
      <c r="M212" s="21" t="s">
        <v>47</v>
      </c>
      <c r="N212">
        <v>630</v>
      </c>
      <c r="O212">
        <v>23.114999999999998</v>
      </c>
      <c r="P212">
        <v>8.5050000000000008</v>
      </c>
      <c r="Q212">
        <v>25.532</v>
      </c>
      <c r="R212">
        <v>1.7330000000000001</v>
      </c>
      <c r="S212">
        <v>28.94</v>
      </c>
      <c r="T212">
        <v>9.75</v>
      </c>
      <c r="U212">
        <v>3</v>
      </c>
      <c r="V212">
        <v>5.5</v>
      </c>
      <c r="W212">
        <v>9.1875</v>
      </c>
      <c r="X212">
        <v>43</v>
      </c>
      <c r="Y212">
        <v>6.95</v>
      </c>
      <c r="Z212">
        <v>10.9</v>
      </c>
    </row>
    <row r="213" spans="1:26" ht="12.75">
      <c r="A213" s="12">
        <f>(J217)</f>
        <v>0</v>
      </c>
      <c r="B213" s="3" t="s">
        <v>48</v>
      </c>
      <c r="C213" s="7"/>
      <c r="D213" s="7"/>
      <c r="E213" s="7"/>
      <c r="F213" s="7"/>
      <c r="G213" s="7"/>
      <c r="J213" s="4" t="s">
        <v>49</v>
      </c>
      <c r="M213" s="22" t="s">
        <v>50</v>
      </c>
      <c r="N213" s="13">
        <v>234</v>
      </c>
      <c r="O213" s="13">
        <v>23.114999999999998</v>
      </c>
      <c r="P213" s="13">
        <v>10.148999999999999</v>
      </c>
      <c r="Q213" s="13">
        <v>29.140999999999998</v>
      </c>
      <c r="R213" s="13">
        <v>1.694</v>
      </c>
      <c r="S213" s="13">
        <v>34.436</v>
      </c>
      <c r="T213" s="13">
        <v>9.75</v>
      </c>
      <c r="U213" s="13">
        <v>3</v>
      </c>
      <c r="V213" s="13">
        <v>5.5</v>
      </c>
      <c r="W213" s="13">
        <v>9.1875</v>
      </c>
      <c r="X213" s="13">
        <v>43</v>
      </c>
      <c r="Y213" s="13">
        <v>6.95</v>
      </c>
      <c r="Z213" s="13">
        <v>10.9</v>
      </c>
    </row>
    <row r="214" spans="1:26" ht="12.75">
      <c r="A214" s="11">
        <f>'Estimating Form'!$D$18/12+M957</f>
        <v>1.7708333333333333</v>
      </c>
      <c r="B214" s="3" t="s">
        <v>957</v>
      </c>
      <c r="J214">
        <f>VLOOKUP(A205,M202:Z232,IF(A210=1,13,12)+1,FALSE)</f>
        <v>6.95</v>
      </c>
      <c r="K214" s="4" t="s">
        <v>51</v>
      </c>
      <c r="M214" s="21" t="s">
        <v>27</v>
      </c>
      <c r="N214">
        <v>630</v>
      </c>
      <c r="O214">
        <v>33.03</v>
      </c>
      <c r="P214">
        <v>5.9219999999999997</v>
      </c>
      <c r="Q214">
        <v>28.338999999999999</v>
      </c>
      <c r="R214">
        <v>2.1880000000000002</v>
      </c>
      <c r="S214">
        <v>20.149999999999999</v>
      </c>
      <c r="T214">
        <v>9.75</v>
      </c>
      <c r="U214">
        <v>3</v>
      </c>
      <c r="V214">
        <v>5.5</v>
      </c>
      <c r="W214">
        <v>9.1875</v>
      </c>
      <c r="X214">
        <v>43</v>
      </c>
      <c r="Y214">
        <v>3.41</v>
      </c>
      <c r="Z214">
        <v>5.34</v>
      </c>
    </row>
    <row r="215" spans="1:26">
      <c r="A215" s="8"/>
      <c r="B215" s="4"/>
      <c r="J215">
        <f>(A209)</f>
        <v>0</v>
      </c>
      <c r="K215" s="4" t="s">
        <v>52</v>
      </c>
      <c r="M215" s="21" t="s">
        <v>53</v>
      </c>
      <c r="N215">
        <v>630</v>
      </c>
      <c r="O215">
        <v>33.03</v>
      </c>
      <c r="P215">
        <v>9.2799999999999994</v>
      </c>
      <c r="Q215">
        <v>41.933</v>
      </c>
      <c r="R215">
        <v>2.1259999999999999</v>
      </c>
      <c r="S215">
        <v>31.579000000000001</v>
      </c>
      <c r="T215">
        <v>9.75</v>
      </c>
      <c r="U215">
        <v>3</v>
      </c>
      <c r="V215">
        <v>5.5</v>
      </c>
      <c r="W215">
        <v>9.1875</v>
      </c>
      <c r="X215">
        <v>43</v>
      </c>
      <c r="Y215">
        <v>3.41</v>
      </c>
      <c r="Z215">
        <v>5.34</v>
      </c>
    </row>
    <row r="216" spans="1:26">
      <c r="A216" s="8"/>
      <c r="B216" s="9"/>
      <c r="M216" s="21" t="s">
        <v>54</v>
      </c>
      <c r="N216">
        <v>630</v>
      </c>
      <c r="O216">
        <v>33.03</v>
      </c>
      <c r="P216">
        <v>11.898999999999999</v>
      </c>
      <c r="Q216">
        <v>51.284999999999997</v>
      </c>
      <c r="R216">
        <v>2.0760000000000001</v>
      </c>
      <c r="S216">
        <v>40.488999999999997</v>
      </c>
      <c r="T216">
        <v>9.75</v>
      </c>
      <c r="U216">
        <v>3</v>
      </c>
      <c r="V216">
        <v>5.5</v>
      </c>
      <c r="W216">
        <v>9.1875</v>
      </c>
      <c r="X216">
        <v>43</v>
      </c>
      <c r="Y216">
        <v>3.41</v>
      </c>
      <c r="Z216">
        <v>5.34</v>
      </c>
    </row>
    <row r="217" spans="1:26">
      <c r="A217" s="8"/>
      <c r="B217" s="9"/>
      <c r="J217">
        <f>(J214*(J209+4)*J215*10^-6)</f>
        <v>0</v>
      </c>
      <c r="M217" s="22" t="s">
        <v>55</v>
      </c>
      <c r="N217" s="13">
        <v>630</v>
      </c>
      <c r="O217" s="13">
        <v>33.03</v>
      </c>
      <c r="P217" s="13">
        <v>14.196</v>
      </c>
      <c r="Q217" s="13">
        <v>58.588999999999999</v>
      </c>
      <c r="R217" s="13">
        <v>2.032</v>
      </c>
      <c r="S217" s="13">
        <v>48.304000000000002</v>
      </c>
      <c r="T217" s="13">
        <v>9.75</v>
      </c>
      <c r="U217" s="13">
        <v>3</v>
      </c>
      <c r="V217" s="13">
        <v>5.5</v>
      </c>
      <c r="W217" s="13">
        <v>9.1875</v>
      </c>
      <c r="X217" s="13">
        <v>43</v>
      </c>
      <c r="Y217" s="13">
        <v>3.41</v>
      </c>
      <c r="Z217" s="13">
        <v>5.34</v>
      </c>
    </row>
    <row r="218" spans="1:26">
      <c r="A218" s="8"/>
      <c r="M218" s="21" t="s">
        <v>56</v>
      </c>
      <c r="N218">
        <v>630</v>
      </c>
      <c r="O218">
        <v>44.031999999999996</v>
      </c>
      <c r="P218">
        <v>8.109</v>
      </c>
      <c r="Q218">
        <v>51.593000000000004</v>
      </c>
      <c r="R218">
        <v>2.5219999999999998</v>
      </c>
      <c r="S218">
        <v>27.591999999999999</v>
      </c>
      <c r="T218">
        <v>10.9375</v>
      </c>
      <c r="U218">
        <v>2.5</v>
      </c>
      <c r="V218">
        <v>6</v>
      </c>
      <c r="W218">
        <v>9.9375</v>
      </c>
      <c r="X218">
        <v>61</v>
      </c>
      <c r="Y218">
        <v>3</v>
      </c>
      <c r="Z218">
        <v>4.29</v>
      </c>
    </row>
    <row r="219" spans="1:26">
      <c r="A219" s="8"/>
      <c r="B219" s="9"/>
      <c r="M219" s="21" t="s">
        <v>57</v>
      </c>
      <c r="N219">
        <v>630</v>
      </c>
      <c r="O219">
        <v>44.031999999999996</v>
      </c>
      <c r="P219">
        <v>9.4350000000000005</v>
      </c>
      <c r="Q219">
        <v>59.033999999999999</v>
      </c>
      <c r="R219">
        <v>2.5009999999999999</v>
      </c>
      <c r="S219">
        <v>32.103999999999999</v>
      </c>
      <c r="T219">
        <v>10.9375</v>
      </c>
      <c r="U219">
        <v>2.5</v>
      </c>
      <c r="V219">
        <v>6</v>
      </c>
      <c r="W219">
        <v>9.9375</v>
      </c>
      <c r="X219">
        <v>61</v>
      </c>
      <c r="Y219">
        <v>3</v>
      </c>
      <c r="Z219">
        <v>4.29</v>
      </c>
    </row>
    <row r="220" spans="1:26" ht="15.75">
      <c r="A220" s="37"/>
      <c r="B220" s="97"/>
      <c r="C220" s="515" t="s">
        <v>93</v>
      </c>
      <c r="D220" s="515"/>
      <c r="E220" s="40">
        <f>(B221-A209)/(O211)-(0.39*A206)</f>
        <v>1.0285885788449058</v>
      </c>
      <c r="M220" s="23" t="s">
        <v>59</v>
      </c>
      <c r="N220">
        <v>630</v>
      </c>
      <c r="O220">
        <v>44.031999999999996</v>
      </c>
      <c r="P220">
        <v>14.49</v>
      </c>
      <c r="Q220">
        <v>84.834000000000003</v>
      </c>
      <c r="R220">
        <v>2.42</v>
      </c>
      <c r="S220">
        <v>49.305</v>
      </c>
      <c r="T220">
        <v>10.9375</v>
      </c>
      <c r="U220">
        <v>2.5</v>
      </c>
      <c r="V220">
        <v>6</v>
      </c>
      <c r="W220">
        <v>9.9375</v>
      </c>
      <c r="X220">
        <v>61</v>
      </c>
      <c r="Y220">
        <v>3</v>
      </c>
      <c r="Z220">
        <v>4.29</v>
      </c>
    </row>
    <row r="221" spans="1:26" ht="15.75">
      <c r="A221" s="37" t="s">
        <v>98</v>
      </c>
      <c r="B221" s="41">
        <f>A208+B225</f>
        <v>35.795624999999994</v>
      </c>
      <c r="C221" s="516" t="s">
        <v>99</v>
      </c>
      <c r="D221" s="516"/>
      <c r="E221" s="42">
        <f>((B221/(O211))*1.1)</f>
        <v>1.7034474367293966</v>
      </c>
      <c r="M221" s="24" t="s">
        <v>58</v>
      </c>
      <c r="N221" s="13">
        <v>630</v>
      </c>
      <c r="O221" s="13">
        <v>44.031999999999996</v>
      </c>
      <c r="P221" s="13">
        <v>19.181000000000001</v>
      </c>
      <c r="Q221" s="13">
        <v>105.14</v>
      </c>
      <c r="R221" s="13">
        <v>2.3410000000000002</v>
      </c>
      <c r="S221" s="13">
        <v>65.268000000000001</v>
      </c>
      <c r="T221" s="13">
        <v>10.9375</v>
      </c>
      <c r="U221" s="13">
        <v>2.5</v>
      </c>
      <c r="V221" s="13">
        <v>6</v>
      </c>
      <c r="W221" s="13">
        <v>9.9375</v>
      </c>
      <c r="X221" s="13">
        <v>61</v>
      </c>
      <c r="Y221" s="13">
        <v>3</v>
      </c>
      <c r="Z221" s="13">
        <v>4.29</v>
      </c>
    </row>
    <row r="222" spans="1:26" ht="15">
      <c r="A222" s="37"/>
      <c r="B222" s="38"/>
      <c r="C222" s="517" t="s">
        <v>106</v>
      </c>
      <c r="D222" s="514" t="str">
        <f>IF(E220&gt;90,"Good!","Too Low, increase GLOPU or decrease jack diameter, if above 50 use ASK ENGINEERING")</f>
        <v>Too Low, increase GLOPU or decrease jack diameter, if above 50 use ASK ENGINEERING</v>
      </c>
      <c r="E222" s="514"/>
      <c r="F222" s="10"/>
      <c r="M222" s="21" t="s">
        <v>60</v>
      </c>
      <c r="N222">
        <v>630</v>
      </c>
      <c r="O222">
        <v>56.578000000000003</v>
      </c>
      <c r="P222">
        <v>9.2829999999999995</v>
      </c>
      <c r="Q222">
        <v>76.736999999999995</v>
      </c>
      <c r="R222">
        <v>2.875</v>
      </c>
      <c r="S222">
        <v>31.588999999999999</v>
      </c>
      <c r="T222">
        <v>10.9375</v>
      </c>
      <c r="U222">
        <v>2.5</v>
      </c>
      <c r="V222">
        <v>6</v>
      </c>
      <c r="W222">
        <v>9.9375</v>
      </c>
      <c r="X222">
        <v>61</v>
      </c>
      <c r="Y222">
        <v>1.82</v>
      </c>
      <c r="Z222">
        <v>2.6</v>
      </c>
    </row>
    <row r="223" spans="1:26" ht="15.75" thickBot="1">
      <c r="A223" s="37"/>
      <c r="B223" s="44"/>
      <c r="C223" s="518"/>
      <c r="D223" s="519"/>
      <c r="E223" s="519"/>
      <c r="M223" s="21" t="s">
        <v>61</v>
      </c>
      <c r="N223">
        <v>630</v>
      </c>
      <c r="O223">
        <v>56.578000000000003</v>
      </c>
      <c r="P223">
        <v>10.734999999999999</v>
      </c>
      <c r="Q223">
        <v>87.494</v>
      </c>
      <c r="R223">
        <v>2.855</v>
      </c>
      <c r="S223">
        <v>36.527999999999999</v>
      </c>
      <c r="T223">
        <v>10.9375</v>
      </c>
      <c r="U223">
        <v>2.5</v>
      </c>
      <c r="V223">
        <v>6</v>
      </c>
      <c r="W223">
        <v>9.9375</v>
      </c>
      <c r="X223">
        <v>61</v>
      </c>
      <c r="Y223">
        <v>1.82</v>
      </c>
      <c r="Z223">
        <v>2.6</v>
      </c>
    </row>
    <row r="224" spans="1:26" ht="15">
      <c r="A224" s="37"/>
      <c r="B224" s="39"/>
      <c r="C224" s="512" t="s">
        <v>118</v>
      </c>
      <c r="D224" s="514" t="str">
        <f>IF(E221&gt;500,"Too High, reduce GLOPU or increase plunger diameter","Good!")</f>
        <v>Good!</v>
      </c>
      <c r="E224" s="514"/>
      <c r="M224" s="24" t="s">
        <v>70</v>
      </c>
      <c r="N224" s="13">
        <v>630</v>
      </c>
      <c r="O224" s="13">
        <v>56.578000000000003</v>
      </c>
      <c r="P224" s="13">
        <v>15.885999999999999</v>
      </c>
      <c r="Q224" s="13">
        <v>122.965</v>
      </c>
      <c r="R224" s="13">
        <v>2.782</v>
      </c>
      <c r="S224" s="13">
        <v>54.055</v>
      </c>
      <c r="T224" s="13">
        <v>10.9375</v>
      </c>
      <c r="U224" s="13">
        <v>2.5</v>
      </c>
      <c r="V224" s="13">
        <v>6</v>
      </c>
      <c r="W224" s="13">
        <v>9.9375</v>
      </c>
      <c r="X224" s="13">
        <v>61</v>
      </c>
      <c r="Y224" s="13">
        <v>1.82</v>
      </c>
      <c r="Z224" s="13">
        <v>2.6</v>
      </c>
    </row>
    <row r="225" spans="1:26" ht="15">
      <c r="A225" s="46" t="s">
        <v>122</v>
      </c>
      <c r="B225" s="96">
        <f>S206*A214</f>
        <v>35.795624999999994</v>
      </c>
      <c r="C225" s="513"/>
      <c r="D225" s="514"/>
      <c r="E225" s="514"/>
      <c r="M225" s="21" t="s">
        <v>62</v>
      </c>
      <c r="N225">
        <v>537</v>
      </c>
      <c r="O225">
        <v>70.695999999999998</v>
      </c>
      <c r="P225">
        <v>12.27</v>
      </c>
      <c r="Q225">
        <v>126.072</v>
      </c>
      <c r="R225">
        <v>3.2050000000000001</v>
      </c>
      <c r="S225">
        <v>41.75</v>
      </c>
      <c r="T225">
        <v>14.375</v>
      </c>
      <c r="U225">
        <v>2.5</v>
      </c>
      <c r="V225">
        <v>6</v>
      </c>
      <c r="W225">
        <v>12.9375</v>
      </c>
      <c r="X225">
        <v>80</v>
      </c>
      <c r="Y225">
        <v>1.66</v>
      </c>
      <c r="Z225">
        <v>2.62</v>
      </c>
    </row>
    <row r="226" spans="1:26">
      <c r="E226" s="10"/>
      <c r="F226" s="10"/>
      <c r="M226" s="22" t="s">
        <v>63</v>
      </c>
      <c r="N226" s="13">
        <v>537</v>
      </c>
      <c r="O226" s="13">
        <v>70.695999999999998</v>
      </c>
      <c r="P226" s="13">
        <v>18.847000000000001</v>
      </c>
      <c r="Q226" s="13">
        <v>183.79400000000001</v>
      </c>
      <c r="R226" s="13">
        <v>3.1230000000000002</v>
      </c>
      <c r="S226" s="13">
        <v>64.132000000000005</v>
      </c>
      <c r="T226" s="13">
        <v>14.375</v>
      </c>
      <c r="U226" s="13">
        <v>2.5</v>
      </c>
      <c r="V226" s="13">
        <v>6</v>
      </c>
      <c r="W226" s="13">
        <v>12.9375</v>
      </c>
      <c r="X226" s="13">
        <v>80</v>
      </c>
      <c r="Y226" s="13">
        <v>1.66</v>
      </c>
      <c r="Z226" s="13">
        <v>2.62</v>
      </c>
    </row>
    <row r="227" spans="1:26">
      <c r="A227" s="8"/>
      <c r="B227" s="9"/>
      <c r="M227" s="21" t="s">
        <v>64</v>
      </c>
      <c r="N227">
        <v>537</v>
      </c>
      <c r="O227">
        <v>88.456000000000003</v>
      </c>
      <c r="P227">
        <v>13.656000000000001</v>
      </c>
      <c r="Q227">
        <v>177.40799999999999</v>
      </c>
      <c r="R227">
        <v>3.6040000000000001</v>
      </c>
      <c r="S227">
        <v>46.466999999999999</v>
      </c>
      <c r="T227">
        <v>14.375</v>
      </c>
      <c r="U227">
        <v>2.5</v>
      </c>
      <c r="V227">
        <v>6</v>
      </c>
      <c r="W227">
        <v>13.3125</v>
      </c>
      <c r="X227">
        <v>80</v>
      </c>
      <c r="Y227">
        <v>1.06</v>
      </c>
      <c r="Z227">
        <v>1.67</v>
      </c>
    </row>
    <row r="228" spans="1:26">
      <c r="B228" s="9"/>
      <c r="M228" s="21" t="s">
        <v>65</v>
      </c>
      <c r="N228">
        <v>537</v>
      </c>
      <c r="O228">
        <v>88.456000000000003</v>
      </c>
      <c r="P228">
        <v>16.48</v>
      </c>
      <c r="Q228">
        <v>210.39400000000001</v>
      </c>
      <c r="R228">
        <v>3.573</v>
      </c>
      <c r="S228">
        <v>56.076999999999998</v>
      </c>
      <c r="T228">
        <v>14.375</v>
      </c>
      <c r="U228">
        <v>2.5</v>
      </c>
      <c r="V228">
        <v>6</v>
      </c>
      <c r="W228">
        <v>13.3125</v>
      </c>
      <c r="X228">
        <v>80</v>
      </c>
      <c r="Y228">
        <v>1.06</v>
      </c>
      <c r="Z228">
        <v>1.67</v>
      </c>
    </row>
    <row r="229" spans="1:26">
      <c r="B229" s="9"/>
      <c r="M229" s="22" t="s">
        <v>66</v>
      </c>
      <c r="N229" s="13">
        <v>537</v>
      </c>
      <c r="O229" s="13">
        <v>88.456000000000003</v>
      </c>
      <c r="P229" s="13">
        <v>20.350999999999999</v>
      </c>
      <c r="Q229" s="13">
        <v>253.547</v>
      </c>
      <c r="R229" s="13">
        <v>3.53</v>
      </c>
      <c r="S229" s="13">
        <v>69.248999999999995</v>
      </c>
      <c r="T229" s="13">
        <v>14.375</v>
      </c>
      <c r="U229" s="13">
        <v>2.5</v>
      </c>
      <c r="V229" s="13">
        <v>6</v>
      </c>
      <c r="W229" s="13">
        <v>13.3125</v>
      </c>
      <c r="X229" s="13">
        <v>80</v>
      </c>
      <c r="Y229" s="13">
        <v>1.06</v>
      </c>
      <c r="Z229" s="13">
        <v>1.67</v>
      </c>
    </row>
    <row r="230" spans="1:26">
      <c r="M230" s="21" t="s">
        <v>67</v>
      </c>
      <c r="N230">
        <v>449</v>
      </c>
      <c r="O230">
        <v>124.937</v>
      </c>
      <c r="P230">
        <v>16.503</v>
      </c>
      <c r="Q230">
        <v>306.48500000000001</v>
      </c>
      <c r="R230">
        <v>4.3090000000000002</v>
      </c>
      <c r="S230">
        <v>56.155999999999999</v>
      </c>
      <c r="T230">
        <v>0</v>
      </c>
      <c r="U230">
        <v>2.5</v>
      </c>
      <c r="V230">
        <v>6</v>
      </c>
      <c r="W230">
        <v>15.3125</v>
      </c>
      <c r="X230">
        <v>125</v>
      </c>
      <c r="Y230">
        <v>0.83899999999999997</v>
      </c>
      <c r="Z230">
        <v>0</v>
      </c>
    </row>
    <row r="231" spans="1:26">
      <c r="M231" s="22" t="s">
        <v>68</v>
      </c>
      <c r="N231" s="13">
        <v>449</v>
      </c>
      <c r="O231" s="13">
        <v>124.937</v>
      </c>
      <c r="P231" s="13">
        <v>18.78</v>
      </c>
      <c r="Q231" s="13">
        <v>345.36099999999999</v>
      </c>
      <c r="R231" s="13">
        <v>4.2880000000000003</v>
      </c>
      <c r="S231" s="13">
        <v>63.902999999999999</v>
      </c>
      <c r="T231" s="13">
        <v>0</v>
      </c>
      <c r="U231" s="13">
        <v>2.5</v>
      </c>
      <c r="V231" s="13">
        <v>6</v>
      </c>
      <c r="W231" s="13">
        <v>15.3125</v>
      </c>
      <c r="X231" s="13">
        <v>125</v>
      </c>
      <c r="Y231" s="13">
        <v>0.83899999999999997</v>
      </c>
      <c r="Z231" s="13">
        <v>0</v>
      </c>
    </row>
    <row r="232" spans="1:26">
      <c r="M232" s="22" t="s">
        <v>69</v>
      </c>
      <c r="N232" s="14">
        <v>449</v>
      </c>
      <c r="O232" s="14">
        <v>194.51900000000001</v>
      </c>
      <c r="P232" s="14">
        <v>25.079000000000001</v>
      </c>
      <c r="Q232" s="14">
        <v>726.36</v>
      </c>
      <c r="R232" s="14">
        <v>5.3819999999999997</v>
      </c>
      <c r="S232" s="14">
        <v>85.337000000000003</v>
      </c>
      <c r="T232" s="14">
        <v>0</v>
      </c>
      <c r="U232" s="14">
        <v>6</v>
      </c>
      <c r="V232" s="14">
        <v>6</v>
      </c>
      <c r="W232" s="14">
        <v>15.375</v>
      </c>
      <c r="X232" s="14">
        <v>192</v>
      </c>
      <c r="Y232" s="14">
        <v>0.54300000000000004</v>
      </c>
      <c r="Z232" s="14">
        <v>0</v>
      </c>
    </row>
    <row r="235" spans="1:26" ht="12.75">
      <c r="A235" s="3"/>
      <c r="B235" s="15"/>
      <c r="C235" s="16"/>
      <c r="D235" s="16"/>
      <c r="E235" s="16"/>
      <c r="F235" s="16"/>
      <c r="G235" s="20"/>
      <c r="H235" s="4" t="s">
        <v>1</v>
      </c>
      <c r="J235" s="4" t="s">
        <v>2</v>
      </c>
      <c r="M235" s="4" t="s">
        <v>3</v>
      </c>
    </row>
    <row r="236" spans="1:26" ht="12.75">
      <c r="A236" s="1"/>
      <c r="B236" s="1"/>
      <c r="C236" s="1"/>
      <c r="D236" s="1"/>
      <c r="E236" s="1"/>
      <c r="F236" s="1"/>
      <c r="G236" s="1"/>
      <c r="J236" s="5">
        <f>2.85*10^8</f>
        <v>285000000</v>
      </c>
      <c r="K236" s="4" t="s">
        <v>4</v>
      </c>
      <c r="N236" s="4" t="s">
        <v>5</v>
      </c>
      <c r="O236" s="6" t="s">
        <v>6</v>
      </c>
      <c r="P236" s="6" t="s">
        <v>7</v>
      </c>
      <c r="Q236" s="6" t="s">
        <v>8</v>
      </c>
      <c r="R236" s="6" t="s">
        <v>9</v>
      </c>
      <c r="S236" s="6" t="s">
        <v>10</v>
      </c>
      <c r="T236" s="6" t="s">
        <v>11</v>
      </c>
      <c r="U236" s="6" t="s">
        <v>11</v>
      </c>
      <c r="V236" s="6" t="s">
        <v>11</v>
      </c>
      <c r="W236" s="6" t="s">
        <v>11</v>
      </c>
      <c r="X236" s="6" t="s">
        <v>12</v>
      </c>
      <c r="Y236" s="520" t="s">
        <v>13</v>
      </c>
      <c r="Z236" s="520"/>
    </row>
    <row r="237" spans="1:26" ht="12.75">
      <c r="A237" s="1"/>
      <c r="B237" s="1"/>
      <c r="C237" s="1"/>
      <c r="D237" s="1"/>
      <c r="E237" s="1"/>
      <c r="F237" s="1"/>
      <c r="G237" s="1"/>
      <c r="J237">
        <f>VLOOKUP(A238,M235:Z265,4,FALSE)</f>
        <v>8.5050000000000008</v>
      </c>
      <c r="K237" s="4" t="s">
        <v>14</v>
      </c>
      <c r="M237" s="4" t="s">
        <v>15</v>
      </c>
      <c r="N237" s="4" t="s">
        <v>16</v>
      </c>
      <c r="O237" s="6" t="s">
        <v>17</v>
      </c>
      <c r="P237" s="6" t="s">
        <v>17</v>
      </c>
      <c r="Q237" s="6" t="s">
        <v>18</v>
      </c>
      <c r="R237" s="6" t="s">
        <v>19</v>
      </c>
      <c r="S237" s="6" t="s">
        <v>20</v>
      </c>
      <c r="T237" s="6" t="s">
        <v>21</v>
      </c>
      <c r="U237" s="6" t="s">
        <v>22</v>
      </c>
      <c r="V237" s="6" t="s">
        <v>23</v>
      </c>
      <c r="W237" s="6" t="s">
        <v>24</v>
      </c>
      <c r="Y237" s="6" t="s">
        <v>25</v>
      </c>
      <c r="Z237" s="4" t="s">
        <v>26</v>
      </c>
    </row>
    <row r="238" spans="1:26" ht="12.75">
      <c r="A238" s="11" t="s">
        <v>47</v>
      </c>
      <c r="B238" s="3" t="s">
        <v>28</v>
      </c>
      <c r="C238" s="7"/>
      <c r="D238" s="7"/>
      <c r="E238" s="7"/>
      <c r="F238" s="7"/>
      <c r="G238" s="3" t="s">
        <v>1</v>
      </c>
      <c r="J238">
        <f>(A241)</f>
        <v>0</v>
      </c>
      <c r="K238" s="4" t="s">
        <v>29</v>
      </c>
      <c r="M238" s="21" t="s">
        <v>30</v>
      </c>
      <c r="N238">
        <v>492</v>
      </c>
      <c r="O238">
        <v>11.781000000000001</v>
      </c>
      <c r="P238">
        <v>2.8980000000000001</v>
      </c>
      <c r="Q238">
        <v>4.766</v>
      </c>
      <c r="R238">
        <v>1.282</v>
      </c>
      <c r="S238">
        <v>9.8620000000000001</v>
      </c>
      <c r="T238">
        <v>0</v>
      </c>
      <c r="U238">
        <v>3</v>
      </c>
      <c r="V238">
        <v>6.75</v>
      </c>
      <c r="W238">
        <v>9.375</v>
      </c>
      <c r="X238">
        <v>22</v>
      </c>
      <c r="Y238">
        <v>10.47</v>
      </c>
      <c r="Z238">
        <v>0</v>
      </c>
    </row>
    <row r="239" spans="1:26" ht="12.75">
      <c r="A239" s="319">
        <f>'Estimating Form'!$D$18/12+M956</f>
        <v>1.3333333333333333</v>
      </c>
      <c r="B239" s="3" t="s">
        <v>31</v>
      </c>
      <c r="C239" s="7"/>
      <c r="D239" s="7"/>
      <c r="E239" s="7"/>
      <c r="F239" s="7"/>
      <c r="G239" s="7"/>
      <c r="J239">
        <f>VLOOKUP(A238,M235:Z266,7,FALSE)</f>
        <v>28.94</v>
      </c>
      <c r="K239" s="4" t="s">
        <v>32</v>
      </c>
      <c r="M239" s="22" t="s">
        <v>33</v>
      </c>
      <c r="N239" s="13">
        <v>492</v>
      </c>
      <c r="O239" s="13">
        <v>11.781000000000001</v>
      </c>
      <c r="P239" s="13">
        <v>5.94</v>
      </c>
      <c r="Q239" s="13">
        <v>8.33</v>
      </c>
      <c r="R239" s="13">
        <v>1.1839999999999999</v>
      </c>
      <c r="S239" s="13">
        <v>20.213999999999999</v>
      </c>
      <c r="T239" s="13">
        <v>0</v>
      </c>
      <c r="U239" s="13">
        <v>3</v>
      </c>
      <c r="V239" s="13">
        <v>6.75</v>
      </c>
      <c r="W239" s="13">
        <v>9.375</v>
      </c>
      <c r="X239" s="13">
        <v>22</v>
      </c>
      <c r="Y239" s="13">
        <v>10.47</v>
      </c>
      <c r="Z239" s="13">
        <v>0</v>
      </c>
    </row>
    <row r="240" spans="1:26" ht="12.75">
      <c r="A240" s="11">
        <v>0</v>
      </c>
      <c r="B240" s="3" t="s">
        <v>34</v>
      </c>
      <c r="C240" s="7"/>
      <c r="D240" s="7"/>
      <c r="E240" s="7"/>
      <c r="F240" s="7"/>
      <c r="G240" s="7"/>
      <c r="J240">
        <f>VLOOKUP(A238,M235:Z265,6,FALSE)</f>
        <v>1.7330000000000001</v>
      </c>
      <c r="K240" s="4" t="s">
        <v>35</v>
      </c>
      <c r="M240" s="21" t="s">
        <v>36</v>
      </c>
      <c r="N240">
        <v>594</v>
      </c>
      <c r="O240">
        <v>14.93</v>
      </c>
      <c r="P240">
        <v>3.3490000000000002</v>
      </c>
      <c r="Q240">
        <v>7.0650000000000004</v>
      </c>
      <c r="R240">
        <v>1.452</v>
      </c>
      <c r="S240">
        <v>11.396000000000001</v>
      </c>
      <c r="T240">
        <v>9.3125</v>
      </c>
      <c r="U240">
        <v>3</v>
      </c>
      <c r="V240">
        <v>5.5</v>
      </c>
      <c r="W240">
        <v>8.8125</v>
      </c>
      <c r="X240">
        <v>29</v>
      </c>
      <c r="Y240">
        <v>9.52</v>
      </c>
      <c r="Z240">
        <v>16.670000000000002</v>
      </c>
    </row>
    <row r="241" spans="1:26" ht="12.75">
      <c r="A241" s="11">
        <f>'Estimating Form'!$G$22</f>
        <v>0</v>
      </c>
      <c r="B241" s="3" t="s">
        <v>37</v>
      </c>
      <c r="C241" s="7"/>
      <c r="D241" s="7"/>
      <c r="E241" s="7"/>
      <c r="F241" s="7"/>
      <c r="G241" s="7"/>
      <c r="J241">
        <f>(A239*12+A240)</f>
        <v>16</v>
      </c>
      <c r="K241" s="4" t="s">
        <v>38</v>
      </c>
      <c r="M241" s="21" t="s">
        <v>39</v>
      </c>
      <c r="N241">
        <v>594</v>
      </c>
      <c r="O241">
        <v>14.93</v>
      </c>
      <c r="P241">
        <v>5.5170000000000003</v>
      </c>
      <c r="Q241">
        <v>10.686999999999999</v>
      </c>
      <c r="R241">
        <v>1.3919999999999999</v>
      </c>
      <c r="S241">
        <v>18.771999999999998</v>
      </c>
      <c r="T241">
        <v>9.3125</v>
      </c>
      <c r="U241">
        <v>3</v>
      </c>
      <c r="V241">
        <v>5.5</v>
      </c>
      <c r="W241">
        <v>8.8125</v>
      </c>
      <c r="X241">
        <v>29</v>
      </c>
      <c r="Y241">
        <v>9.52</v>
      </c>
      <c r="Z241">
        <v>16.670000000000002</v>
      </c>
    </row>
    <row r="242" spans="1:26" ht="12.75">
      <c r="A242" s="11">
        <f>'Estimating Form'!$D$20</f>
        <v>0</v>
      </c>
      <c r="B242" s="3" t="s">
        <v>40</v>
      </c>
      <c r="C242" s="7"/>
      <c r="D242" s="7"/>
      <c r="E242" s="7"/>
      <c r="F242" s="7"/>
      <c r="G242" s="7"/>
      <c r="J242">
        <f>(A239+A240/12)</f>
        <v>1.3333333333333333</v>
      </c>
      <c r="K242" s="4" t="s">
        <v>41</v>
      </c>
      <c r="M242" s="22" t="s">
        <v>42</v>
      </c>
      <c r="N242" s="13">
        <v>594</v>
      </c>
      <c r="O242" s="13">
        <v>14.93</v>
      </c>
      <c r="P242" s="13">
        <v>7.1269999999999998</v>
      </c>
      <c r="Q242" s="13">
        <v>12.893000000000001</v>
      </c>
      <c r="R242" s="13">
        <v>1.345</v>
      </c>
      <c r="S242" s="13">
        <v>24.251999999999999</v>
      </c>
      <c r="T242" s="13">
        <v>9.3125</v>
      </c>
      <c r="U242" s="13">
        <v>3</v>
      </c>
      <c r="V242" s="13">
        <v>5.5</v>
      </c>
      <c r="W242" s="13">
        <v>8.8125</v>
      </c>
      <c r="X242" s="13">
        <v>29</v>
      </c>
      <c r="Y242" s="13">
        <v>9.52</v>
      </c>
      <c r="Z242" s="13">
        <v>16.670000000000002</v>
      </c>
    </row>
    <row r="243" spans="1:26" ht="12.75">
      <c r="A243" s="11">
        <v>0</v>
      </c>
      <c r="B243" s="3" t="s">
        <v>43</v>
      </c>
      <c r="C243" s="7"/>
      <c r="D243" s="7"/>
      <c r="E243" s="7"/>
      <c r="F243" s="7"/>
      <c r="G243" s="7"/>
      <c r="M243" s="21" t="s">
        <v>44</v>
      </c>
      <c r="N243">
        <v>630</v>
      </c>
      <c r="O243">
        <v>23.114999999999998</v>
      </c>
      <c r="P243">
        <v>4.8</v>
      </c>
      <c r="Q243">
        <v>15.824999999999999</v>
      </c>
      <c r="R243">
        <v>1.8160000000000001</v>
      </c>
      <c r="S243">
        <v>16.332999999999998</v>
      </c>
      <c r="T243">
        <v>9.75</v>
      </c>
      <c r="U243">
        <v>3</v>
      </c>
      <c r="V243">
        <v>5.5</v>
      </c>
      <c r="W243">
        <v>9.1875</v>
      </c>
      <c r="X243">
        <v>43</v>
      </c>
      <c r="Y243">
        <v>6.95</v>
      </c>
      <c r="Z243">
        <v>10.9</v>
      </c>
    </row>
    <row r="244" spans="1:26" ht="12.75">
      <c r="A244" s="7"/>
      <c r="B244" s="7"/>
      <c r="C244" s="7"/>
      <c r="D244" s="7"/>
      <c r="E244" s="7"/>
      <c r="F244" s="7"/>
      <c r="G244" s="7"/>
      <c r="J244">
        <f>(J236*J237/(J238+(J239*J242/2)))*(J240/J241)^2</f>
        <v>1473903.5685345086</v>
      </c>
      <c r="M244" s="21" t="s">
        <v>45</v>
      </c>
      <c r="N244">
        <v>630</v>
      </c>
      <c r="O244">
        <v>23.114999999999998</v>
      </c>
      <c r="P244">
        <v>6.59</v>
      </c>
      <c r="Q244">
        <v>20.786000000000001</v>
      </c>
      <c r="R244">
        <v>1.776</v>
      </c>
      <c r="S244">
        <v>22.422000000000001</v>
      </c>
      <c r="T244">
        <v>9.75</v>
      </c>
      <c r="U244">
        <v>3</v>
      </c>
      <c r="V244">
        <v>5.5</v>
      </c>
      <c r="W244">
        <v>9.1875</v>
      </c>
      <c r="X244">
        <v>43</v>
      </c>
      <c r="Y244">
        <v>6.95</v>
      </c>
      <c r="Z244">
        <v>10.9</v>
      </c>
    </row>
    <row r="245" spans="1:26" ht="12.75">
      <c r="A245" s="12">
        <f>(J244)</f>
        <v>1473903.5685345086</v>
      </c>
      <c r="B245" s="3" t="s">
        <v>46</v>
      </c>
      <c r="C245" s="7"/>
      <c r="D245" s="7"/>
      <c r="E245" s="7"/>
      <c r="F245" s="7"/>
      <c r="G245" s="7"/>
      <c r="M245" s="21" t="s">
        <v>47</v>
      </c>
      <c r="N245">
        <v>630</v>
      </c>
      <c r="O245">
        <v>23.114999999999998</v>
      </c>
      <c r="P245">
        <v>8.5050000000000008</v>
      </c>
      <c r="Q245">
        <v>25.532</v>
      </c>
      <c r="R245">
        <v>1.7330000000000001</v>
      </c>
      <c r="S245">
        <v>28.94</v>
      </c>
      <c r="T245">
        <v>9.75</v>
      </c>
      <c r="U245">
        <v>3</v>
      </c>
      <c r="V245">
        <v>5.5</v>
      </c>
      <c r="W245">
        <v>9.1875</v>
      </c>
      <c r="X245">
        <v>43</v>
      </c>
      <c r="Y245">
        <v>6.95</v>
      </c>
      <c r="Z245">
        <v>10.9</v>
      </c>
    </row>
    <row r="246" spans="1:26" ht="12.75">
      <c r="A246" s="12">
        <f>(J250)</f>
        <v>0</v>
      </c>
      <c r="B246" s="3" t="s">
        <v>48</v>
      </c>
      <c r="C246" s="7"/>
      <c r="D246" s="7"/>
      <c r="E246" s="7"/>
      <c r="F246" s="7"/>
      <c r="G246" s="7"/>
      <c r="J246" s="4" t="s">
        <v>49</v>
      </c>
      <c r="M246" s="22" t="s">
        <v>50</v>
      </c>
      <c r="N246" s="13">
        <v>234</v>
      </c>
      <c r="O246" s="13">
        <v>23.114999999999998</v>
      </c>
      <c r="P246" s="13">
        <v>10.148999999999999</v>
      </c>
      <c r="Q246" s="13">
        <v>29.140999999999998</v>
      </c>
      <c r="R246" s="13">
        <v>1.694</v>
      </c>
      <c r="S246" s="13">
        <v>34.436</v>
      </c>
      <c r="T246" s="13">
        <v>9.75</v>
      </c>
      <c r="U246" s="13">
        <v>3</v>
      </c>
      <c r="V246" s="13">
        <v>5.5</v>
      </c>
      <c r="W246" s="13">
        <v>9.1875</v>
      </c>
      <c r="X246" s="13">
        <v>43</v>
      </c>
      <c r="Y246" s="13">
        <v>6.95</v>
      </c>
      <c r="Z246" s="13">
        <v>10.9</v>
      </c>
    </row>
    <row r="247" spans="1:26" ht="12.75">
      <c r="A247" s="11">
        <f>'Estimating Form'!$D$18/12+M957</f>
        <v>1.7708333333333333</v>
      </c>
      <c r="B247" s="3" t="s">
        <v>957</v>
      </c>
      <c r="J247">
        <f>VLOOKUP(A238,M235:Z265,IF(A243=1,13,12)+1,FALSE)</f>
        <v>6.95</v>
      </c>
      <c r="K247" s="4" t="s">
        <v>51</v>
      </c>
      <c r="M247" s="21" t="s">
        <v>27</v>
      </c>
      <c r="N247">
        <v>630</v>
      </c>
      <c r="O247">
        <v>33.03</v>
      </c>
      <c r="P247">
        <v>5.9219999999999997</v>
      </c>
      <c r="Q247">
        <v>28.338999999999999</v>
      </c>
      <c r="R247">
        <v>2.1880000000000002</v>
      </c>
      <c r="S247">
        <v>20.149999999999999</v>
      </c>
      <c r="T247">
        <v>9.75</v>
      </c>
      <c r="U247">
        <v>3</v>
      </c>
      <c r="V247">
        <v>5.5</v>
      </c>
      <c r="W247">
        <v>9.1875</v>
      </c>
      <c r="X247">
        <v>43</v>
      </c>
      <c r="Y247">
        <v>3.41</v>
      </c>
      <c r="Z247">
        <v>5.34</v>
      </c>
    </row>
    <row r="248" spans="1:26">
      <c r="A248" s="8"/>
      <c r="B248" s="4"/>
      <c r="J248">
        <f>(A242)</f>
        <v>0</v>
      </c>
      <c r="K248" s="4" t="s">
        <v>52</v>
      </c>
      <c r="M248" s="21" t="s">
        <v>53</v>
      </c>
      <c r="N248">
        <v>630</v>
      </c>
      <c r="O248">
        <v>33.03</v>
      </c>
      <c r="P248">
        <v>9.2799999999999994</v>
      </c>
      <c r="Q248">
        <v>41.933</v>
      </c>
      <c r="R248">
        <v>2.1259999999999999</v>
      </c>
      <c r="S248">
        <v>31.579000000000001</v>
      </c>
      <c r="T248">
        <v>9.75</v>
      </c>
      <c r="U248">
        <v>3</v>
      </c>
      <c r="V248">
        <v>5.5</v>
      </c>
      <c r="W248">
        <v>9.1875</v>
      </c>
      <c r="X248">
        <v>43</v>
      </c>
      <c r="Y248">
        <v>3.41</v>
      </c>
      <c r="Z248">
        <v>5.34</v>
      </c>
    </row>
    <row r="249" spans="1:26">
      <c r="A249" s="8"/>
      <c r="B249" s="9"/>
      <c r="M249" s="21" t="s">
        <v>54</v>
      </c>
      <c r="N249">
        <v>630</v>
      </c>
      <c r="O249">
        <v>33.03</v>
      </c>
      <c r="P249">
        <v>11.898999999999999</v>
      </c>
      <c r="Q249">
        <v>51.284999999999997</v>
      </c>
      <c r="R249">
        <v>2.0760000000000001</v>
      </c>
      <c r="S249">
        <v>40.488999999999997</v>
      </c>
      <c r="T249">
        <v>9.75</v>
      </c>
      <c r="U249">
        <v>3</v>
      </c>
      <c r="V249">
        <v>5.5</v>
      </c>
      <c r="W249">
        <v>9.1875</v>
      </c>
      <c r="X249">
        <v>43</v>
      </c>
      <c r="Y249">
        <v>3.41</v>
      </c>
      <c r="Z249">
        <v>5.34</v>
      </c>
    </row>
    <row r="250" spans="1:26">
      <c r="A250" s="8"/>
      <c r="B250" s="9"/>
      <c r="J250">
        <f>(J247*(J242+4)*J248*10^-6)</f>
        <v>0</v>
      </c>
      <c r="M250" s="22" t="s">
        <v>55</v>
      </c>
      <c r="N250" s="13">
        <v>630</v>
      </c>
      <c r="O250" s="13">
        <v>33.03</v>
      </c>
      <c r="P250" s="13">
        <v>14.196</v>
      </c>
      <c r="Q250" s="13">
        <v>58.588999999999999</v>
      </c>
      <c r="R250" s="13">
        <v>2.032</v>
      </c>
      <c r="S250" s="13">
        <v>48.304000000000002</v>
      </c>
      <c r="T250" s="13">
        <v>9.75</v>
      </c>
      <c r="U250" s="13">
        <v>3</v>
      </c>
      <c r="V250" s="13">
        <v>5.5</v>
      </c>
      <c r="W250" s="13">
        <v>9.1875</v>
      </c>
      <c r="X250" s="13">
        <v>43</v>
      </c>
      <c r="Y250" s="13">
        <v>3.41</v>
      </c>
      <c r="Z250" s="13">
        <v>5.34</v>
      </c>
    </row>
    <row r="251" spans="1:26">
      <c r="A251" s="8"/>
      <c r="M251" s="21" t="s">
        <v>56</v>
      </c>
      <c r="N251">
        <v>630</v>
      </c>
      <c r="O251">
        <v>44.031999999999996</v>
      </c>
      <c r="P251">
        <v>8.109</v>
      </c>
      <c r="Q251">
        <v>51.593000000000004</v>
      </c>
      <c r="R251">
        <v>2.5219999999999998</v>
      </c>
      <c r="S251">
        <v>27.591999999999999</v>
      </c>
      <c r="T251">
        <v>10.9375</v>
      </c>
      <c r="U251">
        <v>2.5</v>
      </c>
      <c r="V251">
        <v>6</v>
      </c>
      <c r="W251">
        <v>9.9375</v>
      </c>
      <c r="X251">
        <v>61</v>
      </c>
      <c r="Y251">
        <v>3</v>
      </c>
      <c r="Z251">
        <v>4.29</v>
      </c>
    </row>
    <row r="252" spans="1:26">
      <c r="A252" s="8"/>
      <c r="B252" s="9"/>
      <c r="M252" s="21" t="s">
        <v>57</v>
      </c>
      <c r="N252">
        <v>630</v>
      </c>
      <c r="O252">
        <v>44.031999999999996</v>
      </c>
      <c r="P252">
        <v>9.4350000000000005</v>
      </c>
      <c r="Q252">
        <v>59.033999999999999</v>
      </c>
      <c r="R252">
        <v>2.5009999999999999</v>
      </c>
      <c r="S252">
        <v>32.103999999999999</v>
      </c>
      <c r="T252">
        <v>10.9375</v>
      </c>
      <c r="U252">
        <v>2.5</v>
      </c>
      <c r="V252">
        <v>6</v>
      </c>
      <c r="W252">
        <v>9.9375</v>
      </c>
      <c r="X252">
        <v>61</v>
      </c>
      <c r="Y252">
        <v>3</v>
      </c>
      <c r="Z252">
        <v>4.29</v>
      </c>
    </row>
    <row r="253" spans="1:26" ht="15.75">
      <c r="A253" s="37"/>
      <c r="B253" s="97"/>
      <c r="C253" s="515" t="s">
        <v>93</v>
      </c>
      <c r="D253" s="515"/>
      <c r="E253" s="40">
        <f>(B254-A242)/(O245)-(0.39*A239)</f>
        <v>1.0285885788449058</v>
      </c>
      <c r="M253" s="23" t="s">
        <v>59</v>
      </c>
      <c r="N253">
        <v>630</v>
      </c>
      <c r="O253">
        <v>44.031999999999996</v>
      </c>
      <c r="P253">
        <v>14.49</v>
      </c>
      <c r="Q253">
        <v>84.834000000000003</v>
      </c>
      <c r="R253">
        <v>2.42</v>
      </c>
      <c r="S253">
        <v>49.305</v>
      </c>
      <c r="T253">
        <v>10.9375</v>
      </c>
      <c r="U253">
        <v>2.5</v>
      </c>
      <c r="V253">
        <v>6</v>
      </c>
      <c r="W253">
        <v>9.9375</v>
      </c>
      <c r="X253">
        <v>61</v>
      </c>
      <c r="Y253">
        <v>3</v>
      </c>
      <c r="Z253">
        <v>4.29</v>
      </c>
    </row>
    <row r="254" spans="1:26" ht="15.75">
      <c r="A254" s="37" t="s">
        <v>98</v>
      </c>
      <c r="B254" s="41">
        <f>A241+B258</f>
        <v>35.795624999999994</v>
      </c>
      <c r="C254" s="516" t="s">
        <v>99</v>
      </c>
      <c r="D254" s="516"/>
      <c r="E254" s="42">
        <f>((B254/(O245))*1.1)</f>
        <v>1.7034474367293966</v>
      </c>
      <c r="M254" s="24" t="s">
        <v>58</v>
      </c>
      <c r="N254" s="13">
        <v>630</v>
      </c>
      <c r="O254" s="13">
        <v>44.031999999999996</v>
      </c>
      <c r="P254" s="13">
        <v>19.181000000000001</v>
      </c>
      <c r="Q254" s="13">
        <v>105.14</v>
      </c>
      <c r="R254" s="13">
        <v>2.3410000000000002</v>
      </c>
      <c r="S254" s="13">
        <v>65.268000000000001</v>
      </c>
      <c r="T254" s="13">
        <v>10.9375</v>
      </c>
      <c r="U254" s="13">
        <v>2.5</v>
      </c>
      <c r="V254" s="13">
        <v>6</v>
      </c>
      <c r="W254" s="13">
        <v>9.9375</v>
      </c>
      <c r="X254" s="13">
        <v>61</v>
      </c>
      <c r="Y254" s="13">
        <v>3</v>
      </c>
      <c r="Z254" s="13">
        <v>4.29</v>
      </c>
    </row>
    <row r="255" spans="1:26" ht="15">
      <c r="A255" s="37"/>
      <c r="B255" s="38"/>
      <c r="C255" s="517" t="s">
        <v>106</v>
      </c>
      <c r="D255" s="514" t="str">
        <f>IF(E253&gt;90,"Good!","Too Low, increase GLOPU or decrease jack diameter, if above 50 use ASK ENGINEERING")</f>
        <v>Too Low, increase GLOPU or decrease jack diameter, if above 50 use ASK ENGINEERING</v>
      </c>
      <c r="E255" s="514"/>
      <c r="F255" s="10"/>
      <c r="M255" s="21" t="s">
        <v>60</v>
      </c>
      <c r="N255">
        <v>630</v>
      </c>
      <c r="O255">
        <v>56.578000000000003</v>
      </c>
      <c r="P255">
        <v>9.2829999999999995</v>
      </c>
      <c r="Q255">
        <v>76.736999999999995</v>
      </c>
      <c r="R255">
        <v>2.875</v>
      </c>
      <c r="S255">
        <v>31.588999999999999</v>
      </c>
      <c r="T255">
        <v>10.9375</v>
      </c>
      <c r="U255">
        <v>2.5</v>
      </c>
      <c r="V255">
        <v>6</v>
      </c>
      <c r="W255">
        <v>9.9375</v>
      </c>
      <c r="X255">
        <v>61</v>
      </c>
      <c r="Y255">
        <v>1.82</v>
      </c>
      <c r="Z255">
        <v>2.6</v>
      </c>
    </row>
    <row r="256" spans="1:26" ht="15.75" thickBot="1">
      <c r="A256" s="37"/>
      <c r="B256" s="44"/>
      <c r="C256" s="518"/>
      <c r="D256" s="519"/>
      <c r="E256" s="519"/>
      <c r="M256" s="21" t="s">
        <v>61</v>
      </c>
      <c r="N256">
        <v>630</v>
      </c>
      <c r="O256">
        <v>56.578000000000003</v>
      </c>
      <c r="P256">
        <v>10.734999999999999</v>
      </c>
      <c r="Q256">
        <v>87.494</v>
      </c>
      <c r="R256">
        <v>2.855</v>
      </c>
      <c r="S256">
        <v>36.527999999999999</v>
      </c>
      <c r="T256">
        <v>10.9375</v>
      </c>
      <c r="U256">
        <v>2.5</v>
      </c>
      <c r="V256">
        <v>6</v>
      </c>
      <c r="W256">
        <v>9.9375</v>
      </c>
      <c r="X256">
        <v>61</v>
      </c>
      <c r="Y256">
        <v>1.82</v>
      </c>
      <c r="Z256">
        <v>2.6</v>
      </c>
    </row>
    <row r="257" spans="1:26" ht="15">
      <c r="A257" s="37"/>
      <c r="B257" s="39"/>
      <c r="C257" s="512" t="s">
        <v>118</v>
      </c>
      <c r="D257" s="514" t="str">
        <f>IF(E254&gt;500,"Too High, reduce GLOPU or increase plunger diameter","Good!")</f>
        <v>Good!</v>
      </c>
      <c r="E257" s="514"/>
      <c r="M257" s="24" t="s">
        <v>70</v>
      </c>
      <c r="N257" s="13">
        <v>630</v>
      </c>
      <c r="O257" s="13">
        <v>56.578000000000003</v>
      </c>
      <c r="P257" s="13">
        <v>15.885999999999999</v>
      </c>
      <c r="Q257" s="13">
        <v>122.965</v>
      </c>
      <c r="R257" s="13">
        <v>2.782</v>
      </c>
      <c r="S257" s="13">
        <v>54.055</v>
      </c>
      <c r="T257" s="13">
        <v>10.9375</v>
      </c>
      <c r="U257" s="13">
        <v>2.5</v>
      </c>
      <c r="V257" s="13">
        <v>6</v>
      </c>
      <c r="W257" s="13">
        <v>9.9375</v>
      </c>
      <c r="X257" s="13">
        <v>61</v>
      </c>
      <c r="Y257" s="13">
        <v>1.82</v>
      </c>
      <c r="Z257" s="13">
        <v>2.6</v>
      </c>
    </row>
    <row r="258" spans="1:26" ht="15">
      <c r="A258" s="46" t="s">
        <v>122</v>
      </c>
      <c r="B258" s="96">
        <f>S239*A247</f>
        <v>35.795624999999994</v>
      </c>
      <c r="C258" s="513"/>
      <c r="D258" s="514"/>
      <c r="E258" s="514"/>
      <c r="M258" s="21" t="s">
        <v>62</v>
      </c>
      <c r="N258">
        <v>537</v>
      </c>
      <c r="O258">
        <v>70.695999999999998</v>
      </c>
      <c r="P258">
        <v>12.27</v>
      </c>
      <c r="Q258">
        <v>126.072</v>
      </c>
      <c r="R258">
        <v>3.2050000000000001</v>
      </c>
      <c r="S258">
        <v>41.75</v>
      </c>
      <c r="T258">
        <v>14.375</v>
      </c>
      <c r="U258">
        <v>2.5</v>
      </c>
      <c r="V258">
        <v>6</v>
      </c>
      <c r="W258">
        <v>12.9375</v>
      </c>
      <c r="X258">
        <v>80</v>
      </c>
      <c r="Y258">
        <v>1.66</v>
      </c>
      <c r="Z258">
        <v>2.62</v>
      </c>
    </row>
    <row r="259" spans="1:26">
      <c r="E259" s="10"/>
      <c r="F259" s="10"/>
      <c r="M259" s="22" t="s">
        <v>63</v>
      </c>
      <c r="N259" s="13">
        <v>537</v>
      </c>
      <c r="O259" s="13">
        <v>70.695999999999998</v>
      </c>
      <c r="P259" s="13">
        <v>18.847000000000001</v>
      </c>
      <c r="Q259" s="13">
        <v>183.79400000000001</v>
      </c>
      <c r="R259" s="13">
        <v>3.1230000000000002</v>
      </c>
      <c r="S259" s="13">
        <v>64.132000000000005</v>
      </c>
      <c r="T259" s="13">
        <v>14.375</v>
      </c>
      <c r="U259" s="13">
        <v>2.5</v>
      </c>
      <c r="V259" s="13">
        <v>6</v>
      </c>
      <c r="W259" s="13">
        <v>12.9375</v>
      </c>
      <c r="X259" s="13">
        <v>80</v>
      </c>
      <c r="Y259" s="13">
        <v>1.66</v>
      </c>
      <c r="Z259" s="13">
        <v>2.62</v>
      </c>
    </row>
    <row r="260" spans="1:26">
      <c r="A260" s="8"/>
      <c r="B260" s="9"/>
      <c r="M260" s="21" t="s">
        <v>64</v>
      </c>
      <c r="N260">
        <v>537</v>
      </c>
      <c r="O260">
        <v>88.456000000000003</v>
      </c>
      <c r="P260">
        <v>13.656000000000001</v>
      </c>
      <c r="Q260">
        <v>177.40799999999999</v>
      </c>
      <c r="R260">
        <v>3.6040000000000001</v>
      </c>
      <c r="S260">
        <v>46.466999999999999</v>
      </c>
      <c r="T260">
        <v>14.375</v>
      </c>
      <c r="U260">
        <v>2.5</v>
      </c>
      <c r="V260">
        <v>6</v>
      </c>
      <c r="W260">
        <v>13.3125</v>
      </c>
      <c r="X260">
        <v>80</v>
      </c>
      <c r="Y260">
        <v>1.06</v>
      </c>
      <c r="Z260">
        <v>1.67</v>
      </c>
    </row>
    <row r="261" spans="1:26">
      <c r="B261" s="9"/>
      <c r="M261" s="21" t="s">
        <v>65</v>
      </c>
      <c r="N261">
        <v>537</v>
      </c>
      <c r="O261">
        <v>88.456000000000003</v>
      </c>
      <c r="P261">
        <v>16.48</v>
      </c>
      <c r="Q261">
        <v>210.39400000000001</v>
      </c>
      <c r="R261">
        <v>3.573</v>
      </c>
      <c r="S261">
        <v>56.076999999999998</v>
      </c>
      <c r="T261">
        <v>14.375</v>
      </c>
      <c r="U261">
        <v>2.5</v>
      </c>
      <c r="V261">
        <v>6</v>
      </c>
      <c r="W261">
        <v>13.3125</v>
      </c>
      <c r="X261">
        <v>80</v>
      </c>
      <c r="Y261">
        <v>1.06</v>
      </c>
      <c r="Z261">
        <v>1.67</v>
      </c>
    </row>
    <row r="262" spans="1:26">
      <c r="B262" s="9"/>
      <c r="M262" s="22" t="s">
        <v>66</v>
      </c>
      <c r="N262" s="13">
        <v>537</v>
      </c>
      <c r="O262" s="13">
        <v>88.456000000000003</v>
      </c>
      <c r="P262" s="13">
        <v>20.350999999999999</v>
      </c>
      <c r="Q262" s="13">
        <v>253.547</v>
      </c>
      <c r="R262" s="13">
        <v>3.53</v>
      </c>
      <c r="S262" s="13">
        <v>69.248999999999995</v>
      </c>
      <c r="T262" s="13">
        <v>14.375</v>
      </c>
      <c r="U262" s="13">
        <v>2.5</v>
      </c>
      <c r="V262" s="13">
        <v>6</v>
      </c>
      <c r="W262" s="13">
        <v>13.3125</v>
      </c>
      <c r="X262" s="13">
        <v>80</v>
      </c>
      <c r="Y262" s="13">
        <v>1.06</v>
      </c>
      <c r="Z262" s="13">
        <v>1.67</v>
      </c>
    </row>
    <row r="263" spans="1:26">
      <c r="M263" s="21" t="s">
        <v>67</v>
      </c>
      <c r="N263">
        <v>449</v>
      </c>
      <c r="O263">
        <v>124.937</v>
      </c>
      <c r="P263">
        <v>16.503</v>
      </c>
      <c r="Q263">
        <v>306.48500000000001</v>
      </c>
      <c r="R263">
        <v>4.3090000000000002</v>
      </c>
      <c r="S263">
        <v>56.155999999999999</v>
      </c>
      <c r="T263">
        <v>0</v>
      </c>
      <c r="U263">
        <v>2.5</v>
      </c>
      <c r="V263">
        <v>6</v>
      </c>
      <c r="W263">
        <v>15.3125</v>
      </c>
      <c r="X263">
        <v>125</v>
      </c>
      <c r="Y263">
        <v>0.83899999999999997</v>
      </c>
      <c r="Z263">
        <v>0</v>
      </c>
    </row>
    <row r="264" spans="1:26">
      <c r="M264" s="22" t="s">
        <v>68</v>
      </c>
      <c r="N264" s="13">
        <v>449</v>
      </c>
      <c r="O264" s="13">
        <v>124.937</v>
      </c>
      <c r="P264" s="13">
        <v>18.78</v>
      </c>
      <c r="Q264" s="13">
        <v>345.36099999999999</v>
      </c>
      <c r="R264" s="13">
        <v>4.2880000000000003</v>
      </c>
      <c r="S264" s="13">
        <v>63.902999999999999</v>
      </c>
      <c r="T264" s="13">
        <v>0</v>
      </c>
      <c r="U264" s="13">
        <v>2.5</v>
      </c>
      <c r="V264" s="13">
        <v>6</v>
      </c>
      <c r="W264" s="13">
        <v>15.3125</v>
      </c>
      <c r="X264" s="13">
        <v>125</v>
      </c>
      <c r="Y264" s="13">
        <v>0.83899999999999997</v>
      </c>
      <c r="Z264" s="13">
        <v>0</v>
      </c>
    </row>
    <row r="265" spans="1:26">
      <c r="M265" s="22" t="s">
        <v>69</v>
      </c>
      <c r="N265" s="14">
        <v>449</v>
      </c>
      <c r="O265" s="14">
        <v>194.51900000000001</v>
      </c>
      <c r="P265" s="14">
        <v>25.079000000000001</v>
      </c>
      <c r="Q265" s="14">
        <v>726.36</v>
      </c>
      <c r="R265" s="14">
        <v>5.3819999999999997</v>
      </c>
      <c r="S265" s="14">
        <v>85.337000000000003</v>
      </c>
      <c r="T265" s="14">
        <v>0</v>
      </c>
      <c r="U265" s="14">
        <v>6</v>
      </c>
      <c r="V265" s="14">
        <v>6</v>
      </c>
      <c r="W265" s="14">
        <v>15.375</v>
      </c>
      <c r="X265" s="14">
        <v>192</v>
      </c>
      <c r="Y265" s="14">
        <v>0.54300000000000004</v>
      </c>
      <c r="Z265" s="14">
        <v>0</v>
      </c>
    </row>
    <row r="268" spans="1:26" ht="12.75">
      <c r="A268" s="3"/>
      <c r="B268" s="15"/>
      <c r="C268" s="16"/>
      <c r="D268" s="16"/>
      <c r="E268" s="16"/>
      <c r="F268" s="16"/>
      <c r="G268" s="20"/>
      <c r="H268" s="4" t="s">
        <v>1</v>
      </c>
      <c r="J268" s="4" t="s">
        <v>2</v>
      </c>
      <c r="M268" s="4" t="s">
        <v>3</v>
      </c>
    </row>
    <row r="269" spans="1:26" ht="12.75">
      <c r="A269" s="1"/>
      <c r="B269" s="1"/>
      <c r="C269" s="1"/>
      <c r="D269" s="1"/>
      <c r="E269" s="1"/>
      <c r="F269" s="1"/>
      <c r="G269" s="1"/>
      <c r="J269" s="5">
        <f>2.85*10^8</f>
        <v>285000000</v>
      </c>
      <c r="K269" s="4" t="s">
        <v>4</v>
      </c>
      <c r="N269" s="4" t="s">
        <v>5</v>
      </c>
      <c r="O269" s="6" t="s">
        <v>6</v>
      </c>
      <c r="P269" s="6" t="s">
        <v>7</v>
      </c>
      <c r="Q269" s="6" t="s">
        <v>8</v>
      </c>
      <c r="R269" s="6" t="s">
        <v>9</v>
      </c>
      <c r="S269" s="6" t="s">
        <v>10</v>
      </c>
      <c r="T269" s="6" t="s">
        <v>11</v>
      </c>
      <c r="U269" s="6" t="s">
        <v>11</v>
      </c>
      <c r="V269" s="6" t="s">
        <v>11</v>
      </c>
      <c r="W269" s="6" t="s">
        <v>11</v>
      </c>
      <c r="X269" s="6" t="s">
        <v>12</v>
      </c>
      <c r="Y269" s="520" t="s">
        <v>13</v>
      </c>
      <c r="Z269" s="520"/>
    </row>
    <row r="270" spans="1:26" ht="12.75">
      <c r="A270" s="1"/>
      <c r="B270" s="1"/>
      <c r="C270" s="1"/>
      <c r="D270" s="1"/>
      <c r="E270" s="1"/>
      <c r="F270" s="1"/>
      <c r="G270" s="1"/>
      <c r="J270">
        <f>VLOOKUP(A271,M268:Z298,4,FALSE)</f>
        <v>10.148999999999999</v>
      </c>
      <c r="K270" s="4" t="s">
        <v>14</v>
      </c>
      <c r="M270" s="4" t="s">
        <v>15</v>
      </c>
      <c r="N270" s="4" t="s">
        <v>16</v>
      </c>
      <c r="O270" s="6" t="s">
        <v>17</v>
      </c>
      <c r="P270" s="6" t="s">
        <v>17</v>
      </c>
      <c r="Q270" s="6" t="s">
        <v>18</v>
      </c>
      <c r="R270" s="6" t="s">
        <v>19</v>
      </c>
      <c r="S270" s="6" t="s">
        <v>20</v>
      </c>
      <c r="T270" s="6" t="s">
        <v>21</v>
      </c>
      <c r="U270" s="6" t="s">
        <v>22</v>
      </c>
      <c r="V270" s="6" t="s">
        <v>23</v>
      </c>
      <c r="W270" s="6" t="s">
        <v>24</v>
      </c>
      <c r="Y270" s="6" t="s">
        <v>25</v>
      </c>
      <c r="Z270" s="4" t="s">
        <v>26</v>
      </c>
    </row>
    <row r="271" spans="1:26" ht="12.75">
      <c r="A271" s="11" t="s">
        <v>50</v>
      </c>
      <c r="B271" s="3" t="s">
        <v>28</v>
      </c>
      <c r="C271" s="7"/>
      <c r="D271" s="7"/>
      <c r="E271" s="7"/>
      <c r="F271" s="7"/>
      <c r="G271" s="3" t="s">
        <v>1</v>
      </c>
      <c r="J271">
        <f>(A274)</f>
        <v>0</v>
      </c>
      <c r="K271" s="4" t="s">
        <v>29</v>
      </c>
      <c r="M271" s="21" t="s">
        <v>30</v>
      </c>
      <c r="N271">
        <v>492</v>
      </c>
      <c r="O271">
        <v>11.781000000000001</v>
      </c>
      <c r="P271">
        <v>2.8980000000000001</v>
      </c>
      <c r="Q271">
        <v>4.766</v>
      </c>
      <c r="R271">
        <v>1.282</v>
      </c>
      <c r="S271">
        <v>9.8620000000000001</v>
      </c>
      <c r="T271">
        <v>0</v>
      </c>
      <c r="U271">
        <v>3</v>
      </c>
      <c r="V271">
        <v>6.75</v>
      </c>
      <c r="W271">
        <v>9.375</v>
      </c>
      <c r="X271">
        <v>22</v>
      </c>
      <c r="Y271">
        <v>10.47</v>
      </c>
      <c r="Z271">
        <v>0</v>
      </c>
    </row>
    <row r="272" spans="1:26" ht="12.75">
      <c r="A272" s="319">
        <f>'Estimating Form'!$D$18/12+M956</f>
        <v>1.3333333333333333</v>
      </c>
      <c r="B272" s="3" t="s">
        <v>31</v>
      </c>
      <c r="C272" s="7"/>
      <c r="D272" s="7"/>
      <c r="E272" s="7"/>
      <c r="F272" s="7"/>
      <c r="G272" s="7"/>
      <c r="J272">
        <f>VLOOKUP(A271,M268:Z299,7,FALSE)</f>
        <v>34.436</v>
      </c>
      <c r="K272" s="4" t="s">
        <v>32</v>
      </c>
      <c r="M272" s="22" t="s">
        <v>33</v>
      </c>
      <c r="N272" s="13">
        <v>492</v>
      </c>
      <c r="O272" s="13">
        <v>11.781000000000001</v>
      </c>
      <c r="P272" s="13">
        <v>5.94</v>
      </c>
      <c r="Q272" s="13">
        <v>8.33</v>
      </c>
      <c r="R272" s="13">
        <v>1.1839999999999999</v>
      </c>
      <c r="S272" s="13">
        <v>20.213999999999999</v>
      </c>
      <c r="T272" s="13">
        <v>0</v>
      </c>
      <c r="U272" s="13">
        <v>3</v>
      </c>
      <c r="V272" s="13">
        <v>6.75</v>
      </c>
      <c r="W272" s="13">
        <v>9.375</v>
      </c>
      <c r="X272" s="13">
        <v>22</v>
      </c>
      <c r="Y272" s="13">
        <v>10.47</v>
      </c>
      <c r="Z272" s="13">
        <v>0</v>
      </c>
    </row>
    <row r="273" spans="1:26" ht="12.75">
      <c r="A273" s="11">
        <v>0</v>
      </c>
      <c r="B273" s="3" t="s">
        <v>34</v>
      </c>
      <c r="C273" s="7"/>
      <c r="D273" s="7"/>
      <c r="E273" s="7"/>
      <c r="F273" s="7"/>
      <c r="G273" s="7"/>
      <c r="J273">
        <f>VLOOKUP(A271,M268:Z298,6,FALSE)</f>
        <v>1.694</v>
      </c>
      <c r="K273" s="4" t="s">
        <v>35</v>
      </c>
      <c r="M273" s="21" t="s">
        <v>36</v>
      </c>
      <c r="N273">
        <v>594</v>
      </c>
      <c r="O273">
        <v>14.93</v>
      </c>
      <c r="P273">
        <v>3.3490000000000002</v>
      </c>
      <c r="Q273">
        <v>7.0650000000000004</v>
      </c>
      <c r="R273">
        <v>1.452</v>
      </c>
      <c r="S273">
        <v>11.396000000000001</v>
      </c>
      <c r="T273">
        <v>9.3125</v>
      </c>
      <c r="U273">
        <v>3</v>
      </c>
      <c r="V273">
        <v>5.5</v>
      </c>
      <c r="W273">
        <v>8.8125</v>
      </c>
      <c r="X273">
        <v>29</v>
      </c>
      <c r="Y273">
        <v>9.52</v>
      </c>
      <c r="Z273">
        <v>16.670000000000002</v>
      </c>
    </row>
    <row r="274" spans="1:26" ht="12.75">
      <c r="A274" s="11">
        <f>'Estimating Form'!$G$22</f>
        <v>0</v>
      </c>
      <c r="B274" s="3" t="s">
        <v>37</v>
      </c>
      <c r="C274" s="7"/>
      <c r="D274" s="7"/>
      <c r="E274" s="7"/>
      <c r="F274" s="7"/>
      <c r="G274" s="7"/>
      <c r="J274">
        <f>(A272*12+A273)</f>
        <v>16</v>
      </c>
      <c r="K274" s="4" t="s">
        <v>38</v>
      </c>
      <c r="M274" s="21" t="s">
        <v>39</v>
      </c>
      <c r="N274">
        <v>594</v>
      </c>
      <c r="O274">
        <v>14.93</v>
      </c>
      <c r="P274">
        <v>5.5170000000000003</v>
      </c>
      <c r="Q274">
        <v>10.686999999999999</v>
      </c>
      <c r="R274">
        <v>1.3919999999999999</v>
      </c>
      <c r="S274">
        <v>18.771999999999998</v>
      </c>
      <c r="T274">
        <v>9.3125</v>
      </c>
      <c r="U274">
        <v>3</v>
      </c>
      <c r="V274">
        <v>5.5</v>
      </c>
      <c r="W274">
        <v>8.8125</v>
      </c>
      <c r="X274">
        <v>29</v>
      </c>
      <c r="Y274">
        <v>9.52</v>
      </c>
      <c r="Z274">
        <v>16.670000000000002</v>
      </c>
    </row>
    <row r="275" spans="1:26" ht="12.75">
      <c r="A275" s="11">
        <f>'Estimating Form'!$D$20</f>
        <v>0</v>
      </c>
      <c r="B275" s="3" t="s">
        <v>40</v>
      </c>
      <c r="C275" s="7"/>
      <c r="D275" s="7"/>
      <c r="E275" s="7"/>
      <c r="F275" s="7"/>
      <c r="G275" s="7"/>
      <c r="J275">
        <f>(A272+A273/12)</f>
        <v>1.3333333333333333</v>
      </c>
      <c r="K275" s="4" t="s">
        <v>41</v>
      </c>
      <c r="M275" s="22" t="s">
        <v>42</v>
      </c>
      <c r="N275" s="13">
        <v>594</v>
      </c>
      <c r="O275" s="13">
        <v>14.93</v>
      </c>
      <c r="P275" s="13">
        <v>7.1269999999999998</v>
      </c>
      <c r="Q275" s="13">
        <v>12.893000000000001</v>
      </c>
      <c r="R275" s="13">
        <v>1.345</v>
      </c>
      <c r="S275" s="13">
        <v>24.251999999999999</v>
      </c>
      <c r="T275" s="13">
        <v>9.3125</v>
      </c>
      <c r="U275" s="13">
        <v>3</v>
      </c>
      <c r="V275" s="13">
        <v>5.5</v>
      </c>
      <c r="W275" s="13">
        <v>8.8125</v>
      </c>
      <c r="X275" s="13">
        <v>29</v>
      </c>
      <c r="Y275" s="13">
        <v>9.52</v>
      </c>
      <c r="Z275" s="13">
        <v>16.670000000000002</v>
      </c>
    </row>
    <row r="276" spans="1:26" ht="12.75">
      <c r="A276" s="11">
        <v>0</v>
      </c>
      <c r="B276" s="3" t="s">
        <v>43</v>
      </c>
      <c r="C276" s="7"/>
      <c r="D276" s="7"/>
      <c r="E276" s="7"/>
      <c r="F276" s="7"/>
      <c r="G276" s="7"/>
      <c r="M276" s="21" t="s">
        <v>44</v>
      </c>
      <c r="N276">
        <v>630</v>
      </c>
      <c r="O276">
        <v>23.114999999999998</v>
      </c>
      <c r="P276">
        <v>4.8</v>
      </c>
      <c r="Q276">
        <v>15.824999999999999</v>
      </c>
      <c r="R276">
        <v>1.8160000000000001</v>
      </c>
      <c r="S276">
        <v>16.332999999999998</v>
      </c>
      <c r="T276">
        <v>9.75</v>
      </c>
      <c r="U276">
        <v>3</v>
      </c>
      <c r="V276">
        <v>5.5</v>
      </c>
      <c r="W276">
        <v>9.1875</v>
      </c>
      <c r="X276">
        <v>43</v>
      </c>
      <c r="Y276">
        <v>6.95</v>
      </c>
      <c r="Z276">
        <v>10.9</v>
      </c>
    </row>
    <row r="277" spans="1:26" ht="12.75">
      <c r="A277" s="7"/>
      <c r="B277" s="7"/>
      <c r="C277" s="7"/>
      <c r="D277" s="7"/>
      <c r="E277" s="7"/>
      <c r="F277" s="7"/>
      <c r="G277" s="7"/>
      <c r="J277">
        <f>(J269*J270/(J271+(J272*J275/2)))*(J273/J274)^2</f>
        <v>1412321.3328609141</v>
      </c>
      <c r="M277" s="21" t="s">
        <v>45</v>
      </c>
      <c r="N277">
        <v>630</v>
      </c>
      <c r="O277">
        <v>23.114999999999998</v>
      </c>
      <c r="P277">
        <v>6.59</v>
      </c>
      <c r="Q277">
        <v>20.786000000000001</v>
      </c>
      <c r="R277">
        <v>1.776</v>
      </c>
      <c r="S277">
        <v>22.422000000000001</v>
      </c>
      <c r="T277">
        <v>9.75</v>
      </c>
      <c r="U277">
        <v>3</v>
      </c>
      <c r="V277">
        <v>5.5</v>
      </c>
      <c r="W277">
        <v>9.1875</v>
      </c>
      <c r="X277">
        <v>43</v>
      </c>
      <c r="Y277">
        <v>6.95</v>
      </c>
      <c r="Z277">
        <v>10.9</v>
      </c>
    </row>
    <row r="278" spans="1:26" ht="12.75">
      <c r="A278" s="12">
        <f>(J277)</f>
        <v>1412321.3328609141</v>
      </c>
      <c r="B278" s="3" t="s">
        <v>46</v>
      </c>
      <c r="C278" s="7"/>
      <c r="D278" s="7"/>
      <c r="E278" s="7"/>
      <c r="F278" s="7"/>
      <c r="G278" s="7"/>
      <c r="M278" s="21" t="s">
        <v>47</v>
      </c>
      <c r="N278">
        <v>630</v>
      </c>
      <c r="O278">
        <v>23.114999999999998</v>
      </c>
      <c r="P278">
        <v>8.5050000000000008</v>
      </c>
      <c r="Q278">
        <v>25.532</v>
      </c>
      <c r="R278">
        <v>1.7330000000000001</v>
      </c>
      <c r="S278">
        <v>28.94</v>
      </c>
      <c r="T278">
        <v>9.75</v>
      </c>
      <c r="U278">
        <v>3</v>
      </c>
      <c r="V278">
        <v>5.5</v>
      </c>
      <c r="W278">
        <v>9.1875</v>
      </c>
      <c r="X278">
        <v>43</v>
      </c>
      <c r="Y278">
        <v>6.95</v>
      </c>
      <c r="Z278">
        <v>10.9</v>
      </c>
    </row>
    <row r="279" spans="1:26" ht="12.75">
      <c r="A279" s="12">
        <f>(J283)</f>
        <v>0</v>
      </c>
      <c r="B279" s="3" t="s">
        <v>48</v>
      </c>
      <c r="C279" s="7"/>
      <c r="D279" s="7"/>
      <c r="E279" s="7"/>
      <c r="F279" s="7"/>
      <c r="G279" s="7"/>
      <c r="J279" s="4" t="s">
        <v>49</v>
      </c>
      <c r="M279" s="22" t="s">
        <v>50</v>
      </c>
      <c r="N279" s="13">
        <v>234</v>
      </c>
      <c r="O279" s="13">
        <v>23.114999999999998</v>
      </c>
      <c r="P279" s="13">
        <v>10.148999999999999</v>
      </c>
      <c r="Q279" s="13">
        <v>29.140999999999998</v>
      </c>
      <c r="R279" s="13">
        <v>1.694</v>
      </c>
      <c r="S279" s="13">
        <v>34.436</v>
      </c>
      <c r="T279" s="13">
        <v>9.75</v>
      </c>
      <c r="U279" s="13">
        <v>3</v>
      </c>
      <c r="V279" s="13">
        <v>5.5</v>
      </c>
      <c r="W279" s="13">
        <v>9.1875</v>
      </c>
      <c r="X279" s="13">
        <v>43</v>
      </c>
      <c r="Y279" s="13">
        <v>6.95</v>
      </c>
      <c r="Z279" s="13">
        <v>10.9</v>
      </c>
    </row>
    <row r="280" spans="1:26" ht="12.75">
      <c r="A280" s="11">
        <f>'Estimating Form'!$D$18/12+M957</f>
        <v>1.7708333333333333</v>
      </c>
      <c r="B280" s="3" t="s">
        <v>957</v>
      </c>
      <c r="J280">
        <f>VLOOKUP(A271,M268:Z298,IF(A276=1,13,12)+1,FALSE)</f>
        <v>6.95</v>
      </c>
      <c r="K280" s="4" t="s">
        <v>51</v>
      </c>
      <c r="M280" s="21" t="s">
        <v>27</v>
      </c>
      <c r="N280">
        <v>630</v>
      </c>
      <c r="O280">
        <v>33.03</v>
      </c>
      <c r="P280">
        <v>5.9219999999999997</v>
      </c>
      <c r="Q280">
        <v>28.338999999999999</v>
      </c>
      <c r="R280">
        <v>2.1880000000000002</v>
      </c>
      <c r="S280">
        <v>20.149999999999999</v>
      </c>
      <c r="T280">
        <v>9.75</v>
      </c>
      <c r="U280">
        <v>3</v>
      </c>
      <c r="V280">
        <v>5.5</v>
      </c>
      <c r="W280">
        <v>9.1875</v>
      </c>
      <c r="X280">
        <v>43</v>
      </c>
      <c r="Y280">
        <v>3.41</v>
      </c>
      <c r="Z280">
        <v>5.34</v>
      </c>
    </row>
    <row r="281" spans="1:26">
      <c r="A281" s="8"/>
      <c r="B281" s="4"/>
      <c r="J281">
        <f>(A275)</f>
        <v>0</v>
      </c>
      <c r="K281" s="4" t="s">
        <v>52</v>
      </c>
      <c r="M281" s="21" t="s">
        <v>53</v>
      </c>
      <c r="N281">
        <v>630</v>
      </c>
      <c r="O281">
        <v>33.03</v>
      </c>
      <c r="P281">
        <v>9.2799999999999994</v>
      </c>
      <c r="Q281">
        <v>41.933</v>
      </c>
      <c r="R281">
        <v>2.1259999999999999</v>
      </c>
      <c r="S281">
        <v>31.579000000000001</v>
      </c>
      <c r="T281">
        <v>9.75</v>
      </c>
      <c r="U281">
        <v>3</v>
      </c>
      <c r="V281">
        <v>5.5</v>
      </c>
      <c r="W281">
        <v>9.1875</v>
      </c>
      <c r="X281">
        <v>43</v>
      </c>
      <c r="Y281">
        <v>3.41</v>
      </c>
      <c r="Z281">
        <v>5.34</v>
      </c>
    </row>
    <row r="282" spans="1:26">
      <c r="A282" s="8"/>
      <c r="B282" s="9"/>
      <c r="M282" s="21" t="s">
        <v>54</v>
      </c>
      <c r="N282">
        <v>630</v>
      </c>
      <c r="O282">
        <v>33.03</v>
      </c>
      <c r="P282">
        <v>11.898999999999999</v>
      </c>
      <c r="Q282">
        <v>51.284999999999997</v>
      </c>
      <c r="R282">
        <v>2.0760000000000001</v>
      </c>
      <c r="S282">
        <v>40.488999999999997</v>
      </c>
      <c r="T282">
        <v>9.75</v>
      </c>
      <c r="U282">
        <v>3</v>
      </c>
      <c r="V282">
        <v>5.5</v>
      </c>
      <c r="W282">
        <v>9.1875</v>
      </c>
      <c r="X282">
        <v>43</v>
      </c>
      <c r="Y282">
        <v>3.41</v>
      </c>
      <c r="Z282">
        <v>5.34</v>
      </c>
    </row>
    <row r="283" spans="1:26">
      <c r="A283" s="8"/>
      <c r="B283" s="9"/>
      <c r="J283">
        <f>(J280*(J275+4)*J281*10^-6)</f>
        <v>0</v>
      </c>
      <c r="M283" s="22" t="s">
        <v>55</v>
      </c>
      <c r="N283" s="13">
        <v>630</v>
      </c>
      <c r="O283" s="13">
        <v>33.03</v>
      </c>
      <c r="P283" s="13">
        <v>14.196</v>
      </c>
      <c r="Q283" s="13">
        <v>58.588999999999999</v>
      </c>
      <c r="R283" s="13">
        <v>2.032</v>
      </c>
      <c r="S283" s="13">
        <v>48.304000000000002</v>
      </c>
      <c r="T283" s="13">
        <v>9.75</v>
      </c>
      <c r="U283" s="13">
        <v>3</v>
      </c>
      <c r="V283" s="13">
        <v>5.5</v>
      </c>
      <c r="W283" s="13">
        <v>9.1875</v>
      </c>
      <c r="X283" s="13">
        <v>43</v>
      </c>
      <c r="Y283" s="13">
        <v>3.41</v>
      </c>
      <c r="Z283" s="13">
        <v>5.34</v>
      </c>
    </row>
    <row r="284" spans="1:26">
      <c r="A284" s="8"/>
      <c r="M284" s="21" t="s">
        <v>56</v>
      </c>
      <c r="N284">
        <v>630</v>
      </c>
      <c r="O284">
        <v>44.031999999999996</v>
      </c>
      <c r="P284">
        <v>8.109</v>
      </c>
      <c r="Q284">
        <v>51.593000000000004</v>
      </c>
      <c r="R284">
        <v>2.5219999999999998</v>
      </c>
      <c r="S284">
        <v>27.591999999999999</v>
      </c>
      <c r="T284">
        <v>10.9375</v>
      </c>
      <c r="U284">
        <v>2.5</v>
      </c>
      <c r="V284">
        <v>6</v>
      </c>
      <c r="W284">
        <v>9.9375</v>
      </c>
      <c r="X284">
        <v>61</v>
      </c>
      <c r="Y284">
        <v>3</v>
      </c>
      <c r="Z284">
        <v>4.29</v>
      </c>
    </row>
    <row r="285" spans="1:26">
      <c r="A285" s="8"/>
      <c r="B285" s="9"/>
      <c r="M285" s="21" t="s">
        <v>57</v>
      </c>
      <c r="N285">
        <v>630</v>
      </c>
      <c r="O285">
        <v>44.031999999999996</v>
      </c>
      <c r="P285">
        <v>9.4350000000000005</v>
      </c>
      <c r="Q285">
        <v>59.033999999999999</v>
      </c>
      <c r="R285">
        <v>2.5009999999999999</v>
      </c>
      <c r="S285">
        <v>32.103999999999999</v>
      </c>
      <c r="T285">
        <v>10.9375</v>
      </c>
      <c r="U285">
        <v>2.5</v>
      </c>
      <c r="V285">
        <v>6</v>
      </c>
      <c r="W285">
        <v>9.9375</v>
      </c>
      <c r="X285">
        <v>61</v>
      </c>
      <c r="Y285">
        <v>3</v>
      </c>
      <c r="Z285">
        <v>4.29</v>
      </c>
    </row>
    <row r="286" spans="1:26" ht="15.75">
      <c r="A286" s="37"/>
      <c r="B286" s="97"/>
      <c r="C286" s="515" t="s">
        <v>93</v>
      </c>
      <c r="D286" s="515"/>
      <c r="E286" s="40">
        <f>(B287-A275)/(O279)-(0.39*A272)</f>
        <v>1.0285885788449058</v>
      </c>
      <c r="M286" s="23" t="s">
        <v>59</v>
      </c>
      <c r="N286">
        <v>630</v>
      </c>
      <c r="O286">
        <v>44.031999999999996</v>
      </c>
      <c r="P286">
        <v>14.49</v>
      </c>
      <c r="Q286">
        <v>84.834000000000003</v>
      </c>
      <c r="R286">
        <v>2.42</v>
      </c>
      <c r="S286">
        <v>49.305</v>
      </c>
      <c r="T286">
        <v>10.9375</v>
      </c>
      <c r="U286">
        <v>2.5</v>
      </c>
      <c r="V286">
        <v>6</v>
      </c>
      <c r="W286">
        <v>9.9375</v>
      </c>
      <c r="X286">
        <v>61</v>
      </c>
      <c r="Y286">
        <v>3</v>
      </c>
      <c r="Z286">
        <v>4.29</v>
      </c>
    </row>
    <row r="287" spans="1:26" ht="15.75">
      <c r="A287" s="37" t="s">
        <v>98</v>
      </c>
      <c r="B287" s="41">
        <f>A274+B291</f>
        <v>35.795624999999994</v>
      </c>
      <c r="C287" s="516" t="s">
        <v>99</v>
      </c>
      <c r="D287" s="516"/>
      <c r="E287" s="42">
        <f>((B287/(O279))*1.1)</f>
        <v>1.7034474367293966</v>
      </c>
      <c r="M287" s="24" t="s">
        <v>58</v>
      </c>
      <c r="N287" s="13">
        <v>630</v>
      </c>
      <c r="O287" s="13">
        <v>44.031999999999996</v>
      </c>
      <c r="P287" s="13">
        <v>19.181000000000001</v>
      </c>
      <c r="Q287" s="13">
        <v>105.14</v>
      </c>
      <c r="R287" s="13">
        <v>2.3410000000000002</v>
      </c>
      <c r="S287" s="13">
        <v>65.268000000000001</v>
      </c>
      <c r="T287" s="13">
        <v>10.9375</v>
      </c>
      <c r="U287" s="13">
        <v>2.5</v>
      </c>
      <c r="V287" s="13">
        <v>6</v>
      </c>
      <c r="W287" s="13">
        <v>9.9375</v>
      </c>
      <c r="X287" s="13">
        <v>61</v>
      </c>
      <c r="Y287" s="13">
        <v>3</v>
      </c>
      <c r="Z287" s="13">
        <v>4.29</v>
      </c>
    </row>
    <row r="288" spans="1:26" ht="15">
      <c r="A288" s="37"/>
      <c r="B288" s="38"/>
      <c r="C288" s="517" t="s">
        <v>106</v>
      </c>
      <c r="D288" s="514" t="str">
        <f>IF(E286&gt;90,"Good!","Too Low, increase GLOPU or decrease jack diameter, if above 50 use ASK ENGINEERING")</f>
        <v>Too Low, increase GLOPU or decrease jack diameter, if above 50 use ASK ENGINEERING</v>
      </c>
      <c r="E288" s="514"/>
      <c r="F288" s="10"/>
      <c r="M288" s="21" t="s">
        <v>60</v>
      </c>
      <c r="N288">
        <v>630</v>
      </c>
      <c r="O288">
        <v>56.578000000000003</v>
      </c>
      <c r="P288">
        <v>9.2829999999999995</v>
      </c>
      <c r="Q288">
        <v>76.736999999999995</v>
      </c>
      <c r="R288">
        <v>2.875</v>
      </c>
      <c r="S288">
        <v>31.588999999999999</v>
      </c>
      <c r="T288">
        <v>10.9375</v>
      </c>
      <c r="U288">
        <v>2.5</v>
      </c>
      <c r="V288">
        <v>6</v>
      </c>
      <c r="W288">
        <v>9.9375</v>
      </c>
      <c r="X288">
        <v>61</v>
      </c>
      <c r="Y288">
        <v>1.82</v>
      </c>
      <c r="Z288">
        <v>2.6</v>
      </c>
    </row>
    <row r="289" spans="1:26" ht="15.75" thickBot="1">
      <c r="A289" s="37"/>
      <c r="B289" s="44"/>
      <c r="C289" s="518"/>
      <c r="D289" s="519"/>
      <c r="E289" s="519"/>
      <c r="M289" s="21" t="s">
        <v>61</v>
      </c>
      <c r="N289">
        <v>630</v>
      </c>
      <c r="O289">
        <v>56.578000000000003</v>
      </c>
      <c r="P289">
        <v>10.734999999999999</v>
      </c>
      <c r="Q289">
        <v>87.494</v>
      </c>
      <c r="R289">
        <v>2.855</v>
      </c>
      <c r="S289">
        <v>36.527999999999999</v>
      </c>
      <c r="T289">
        <v>10.9375</v>
      </c>
      <c r="U289">
        <v>2.5</v>
      </c>
      <c r="V289">
        <v>6</v>
      </c>
      <c r="W289">
        <v>9.9375</v>
      </c>
      <c r="X289">
        <v>61</v>
      </c>
      <c r="Y289">
        <v>1.82</v>
      </c>
      <c r="Z289">
        <v>2.6</v>
      </c>
    </row>
    <row r="290" spans="1:26" ht="15">
      <c r="A290" s="37"/>
      <c r="B290" s="39"/>
      <c r="C290" s="512" t="s">
        <v>118</v>
      </c>
      <c r="D290" s="514" t="str">
        <f>IF(E287&gt;500,"Too High, reduce GLOPU or increase plunger diameter","Good!")</f>
        <v>Good!</v>
      </c>
      <c r="E290" s="514"/>
      <c r="M290" s="24" t="s">
        <v>70</v>
      </c>
      <c r="N290" s="13">
        <v>630</v>
      </c>
      <c r="O290" s="13">
        <v>56.578000000000003</v>
      </c>
      <c r="P290" s="13">
        <v>15.885999999999999</v>
      </c>
      <c r="Q290" s="13">
        <v>122.965</v>
      </c>
      <c r="R290" s="13">
        <v>2.782</v>
      </c>
      <c r="S290" s="13">
        <v>54.055</v>
      </c>
      <c r="T290" s="13">
        <v>10.9375</v>
      </c>
      <c r="U290" s="13">
        <v>2.5</v>
      </c>
      <c r="V290" s="13">
        <v>6</v>
      </c>
      <c r="W290" s="13">
        <v>9.9375</v>
      </c>
      <c r="X290" s="13">
        <v>61</v>
      </c>
      <c r="Y290" s="13">
        <v>1.82</v>
      </c>
      <c r="Z290" s="13">
        <v>2.6</v>
      </c>
    </row>
    <row r="291" spans="1:26" ht="15">
      <c r="A291" s="46" t="s">
        <v>122</v>
      </c>
      <c r="B291" s="96">
        <f>S272*A280</f>
        <v>35.795624999999994</v>
      </c>
      <c r="C291" s="513"/>
      <c r="D291" s="514"/>
      <c r="E291" s="514"/>
      <c r="M291" s="21" t="s">
        <v>62</v>
      </c>
      <c r="N291">
        <v>537</v>
      </c>
      <c r="O291">
        <v>70.695999999999998</v>
      </c>
      <c r="P291">
        <v>12.27</v>
      </c>
      <c r="Q291">
        <v>126.072</v>
      </c>
      <c r="R291">
        <v>3.2050000000000001</v>
      </c>
      <c r="S291">
        <v>41.75</v>
      </c>
      <c r="T291">
        <v>14.375</v>
      </c>
      <c r="U291">
        <v>2.5</v>
      </c>
      <c r="V291">
        <v>6</v>
      </c>
      <c r="W291">
        <v>12.9375</v>
      </c>
      <c r="X291">
        <v>80</v>
      </c>
      <c r="Y291">
        <v>1.66</v>
      </c>
      <c r="Z291">
        <v>2.62</v>
      </c>
    </row>
    <row r="292" spans="1:26">
      <c r="E292" s="10"/>
      <c r="F292" s="10"/>
      <c r="M292" s="22" t="s">
        <v>63</v>
      </c>
      <c r="N292" s="13">
        <v>537</v>
      </c>
      <c r="O292" s="13">
        <v>70.695999999999998</v>
      </c>
      <c r="P292" s="13">
        <v>18.847000000000001</v>
      </c>
      <c r="Q292" s="13">
        <v>183.79400000000001</v>
      </c>
      <c r="R292" s="13">
        <v>3.1230000000000002</v>
      </c>
      <c r="S292" s="13">
        <v>64.132000000000005</v>
      </c>
      <c r="T292" s="13">
        <v>14.375</v>
      </c>
      <c r="U292" s="13">
        <v>2.5</v>
      </c>
      <c r="V292" s="13">
        <v>6</v>
      </c>
      <c r="W292" s="13">
        <v>12.9375</v>
      </c>
      <c r="X292" s="13">
        <v>80</v>
      </c>
      <c r="Y292" s="13">
        <v>1.66</v>
      </c>
      <c r="Z292" s="13">
        <v>2.62</v>
      </c>
    </row>
    <row r="293" spans="1:26">
      <c r="A293" s="8"/>
      <c r="B293" s="9"/>
      <c r="M293" s="21" t="s">
        <v>64</v>
      </c>
      <c r="N293">
        <v>537</v>
      </c>
      <c r="O293">
        <v>88.456000000000003</v>
      </c>
      <c r="P293">
        <v>13.656000000000001</v>
      </c>
      <c r="Q293">
        <v>177.40799999999999</v>
      </c>
      <c r="R293">
        <v>3.6040000000000001</v>
      </c>
      <c r="S293">
        <v>46.466999999999999</v>
      </c>
      <c r="T293">
        <v>14.375</v>
      </c>
      <c r="U293">
        <v>2.5</v>
      </c>
      <c r="V293">
        <v>6</v>
      </c>
      <c r="W293">
        <v>13.3125</v>
      </c>
      <c r="X293">
        <v>80</v>
      </c>
      <c r="Y293">
        <v>1.06</v>
      </c>
      <c r="Z293">
        <v>1.67</v>
      </c>
    </row>
    <row r="294" spans="1:26">
      <c r="B294" s="9"/>
      <c r="M294" s="21" t="s">
        <v>65</v>
      </c>
      <c r="N294">
        <v>537</v>
      </c>
      <c r="O294">
        <v>88.456000000000003</v>
      </c>
      <c r="P294">
        <v>16.48</v>
      </c>
      <c r="Q294">
        <v>210.39400000000001</v>
      </c>
      <c r="R294">
        <v>3.573</v>
      </c>
      <c r="S294">
        <v>56.076999999999998</v>
      </c>
      <c r="T294">
        <v>14.375</v>
      </c>
      <c r="U294">
        <v>2.5</v>
      </c>
      <c r="V294">
        <v>6</v>
      </c>
      <c r="W294">
        <v>13.3125</v>
      </c>
      <c r="X294">
        <v>80</v>
      </c>
      <c r="Y294">
        <v>1.06</v>
      </c>
      <c r="Z294">
        <v>1.67</v>
      </c>
    </row>
    <row r="295" spans="1:26">
      <c r="B295" s="9"/>
      <c r="M295" s="22" t="s">
        <v>66</v>
      </c>
      <c r="N295" s="13">
        <v>537</v>
      </c>
      <c r="O295" s="13">
        <v>88.456000000000003</v>
      </c>
      <c r="P295" s="13">
        <v>20.350999999999999</v>
      </c>
      <c r="Q295" s="13">
        <v>253.547</v>
      </c>
      <c r="R295" s="13">
        <v>3.53</v>
      </c>
      <c r="S295" s="13">
        <v>69.248999999999995</v>
      </c>
      <c r="T295" s="13">
        <v>14.375</v>
      </c>
      <c r="U295" s="13">
        <v>2.5</v>
      </c>
      <c r="V295" s="13">
        <v>6</v>
      </c>
      <c r="W295" s="13">
        <v>13.3125</v>
      </c>
      <c r="X295" s="13">
        <v>80</v>
      </c>
      <c r="Y295" s="13">
        <v>1.06</v>
      </c>
      <c r="Z295" s="13">
        <v>1.67</v>
      </c>
    </row>
    <row r="296" spans="1:26">
      <c r="M296" s="21" t="s">
        <v>67</v>
      </c>
      <c r="N296">
        <v>449</v>
      </c>
      <c r="O296">
        <v>124.937</v>
      </c>
      <c r="P296">
        <v>16.503</v>
      </c>
      <c r="Q296">
        <v>306.48500000000001</v>
      </c>
      <c r="R296">
        <v>4.3090000000000002</v>
      </c>
      <c r="S296">
        <v>56.155999999999999</v>
      </c>
      <c r="T296">
        <v>0</v>
      </c>
      <c r="U296">
        <v>2.5</v>
      </c>
      <c r="V296">
        <v>6</v>
      </c>
      <c r="W296">
        <v>15.3125</v>
      </c>
      <c r="X296">
        <v>125</v>
      </c>
      <c r="Y296">
        <v>0.83899999999999997</v>
      </c>
      <c r="Z296">
        <v>0</v>
      </c>
    </row>
    <row r="297" spans="1:26">
      <c r="M297" s="22" t="s">
        <v>68</v>
      </c>
      <c r="N297" s="13">
        <v>449</v>
      </c>
      <c r="O297" s="13">
        <v>124.937</v>
      </c>
      <c r="P297" s="13">
        <v>18.78</v>
      </c>
      <c r="Q297" s="13">
        <v>345.36099999999999</v>
      </c>
      <c r="R297" s="13">
        <v>4.2880000000000003</v>
      </c>
      <c r="S297" s="13">
        <v>63.902999999999999</v>
      </c>
      <c r="T297" s="13">
        <v>0</v>
      </c>
      <c r="U297" s="13">
        <v>2.5</v>
      </c>
      <c r="V297" s="13">
        <v>6</v>
      </c>
      <c r="W297" s="13">
        <v>15.3125</v>
      </c>
      <c r="X297" s="13">
        <v>125</v>
      </c>
      <c r="Y297" s="13">
        <v>0.83899999999999997</v>
      </c>
      <c r="Z297" s="13">
        <v>0</v>
      </c>
    </row>
    <row r="298" spans="1:26">
      <c r="M298" s="22" t="s">
        <v>69</v>
      </c>
      <c r="N298" s="14">
        <v>449</v>
      </c>
      <c r="O298" s="14">
        <v>194.51900000000001</v>
      </c>
      <c r="P298" s="14">
        <v>25.079000000000001</v>
      </c>
      <c r="Q298" s="14">
        <v>726.36</v>
      </c>
      <c r="R298" s="14">
        <v>5.3819999999999997</v>
      </c>
      <c r="S298" s="14">
        <v>85.337000000000003</v>
      </c>
      <c r="T298" s="14">
        <v>0</v>
      </c>
      <c r="U298" s="14">
        <v>6</v>
      </c>
      <c r="V298" s="14">
        <v>6</v>
      </c>
      <c r="W298" s="14">
        <v>15.375</v>
      </c>
      <c r="X298" s="14">
        <v>192</v>
      </c>
      <c r="Y298" s="14">
        <v>0.54300000000000004</v>
      </c>
      <c r="Z298" s="14">
        <v>0</v>
      </c>
    </row>
    <row r="301" spans="1:26" ht="12.75">
      <c r="A301" s="3"/>
      <c r="B301" s="15"/>
      <c r="C301" s="16"/>
      <c r="D301" s="16"/>
      <c r="E301" s="16"/>
      <c r="F301" s="16"/>
      <c r="G301" s="20"/>
      <c r="H301" s="4" t="s">
        <v>1</v>
      </c>
      <c r="J301" s="4" t="s">
        <v>2</v>
      </c>
      <c r="M301" s="4" t="s">
        <v>3</v>
      </c>
    </row>
    <row r="302" spans="1:26" ht="12.75">
      <c r="A302" s="1"/>
      <c r="B302" s="1"/>
      <c r="C302" s="1"/>
      <c r="D302" s="1"/>
      <c r="E302" s="1"/>
      <c r="F302" s="1"/>
      <c r="G302" s="1"/>
      <c r="J302" s="5">
        <f>2.85*10^8</f>
        <v>285000000</v>
      </c>
      <c r="K302" s="4" t="s">
        <v>4</v>
      </c>
      <c r="N302" s="4" t="s">
        <v>5</v>
      </c>
      <c r="O302" s="6" t="s">
        <v>6</v>
      </c>
      <c r="P302" s="6" t="s">
        <v>7</v>
      </c>
      <c r="Q302" s="6" t="s">
        <v>8</v>
      </c>
      <c r="R302" s="6" t="s">
        <v>9</v>
      </c>
      <c r="S302" s="6" t="s">
        <v>10</v>
      </c>
      <c r="T302" s="6" t="s">
        <v>11</v>
      </c>
      <c r="U302" s="6" t="s">
        <v>11</v>
      </c>
      <c r="V302" s="6" t="s">
        <v>11</v>
      </c>
      <c r="W302" s="6" t="s">
        <v>11</v>
      </c>
      <c r="X302" s="6" t="s">
        <v>12</v>
      </c>
      <c r="Y302" s="520" t="s">
        <v>13</v>
      </c>
      <c r="Z302" s="520"/>
    </row>
    <row r="303" spans="1:26" ht="12.75">
      <c r="A303" s="1"/>
      <c r="B303" s="1"/>
      <c r="C303" s="1"/>
      <c r="D303" s="1"/>
      <c r="E303" s="1"/>
      <c r="F303" s="1"/>
      <c r="G303" s="1"/>
      <c r="J303">
        <f>VLOOKUP(A304,M301:Z331,4,FALSE)</f>
        <v>5.9219999999999997</v>
      </c>
      <c r="K303" s="4" t="s">
        <v>14</v>
      </c>
      <c r="M303" s="4" t="s">
        <v>15</v>
      </c>
      <c r="N303" s="4" t="s">
        <v>16</v>
      </c>
      <c r="O303" s="6" t="s">
        <v>17</v>
      </c>
      <c r="P303" s="6" t="s">
        <v>17</v>
      </c>
      <c r="Q303" s="6" t="s">
        <v>18</v>
      </c>
      <c r="R303" s="6" t="s">
        <v>19</v>
      </c>
      <c r="S303" s="6" t="s">
        <v>20</v>
      </c>
      <c r="T303" s="6" t="s">
        <v>21</v>
      </c>
      <c r="U303" s="6" t="s">
        <v>22</v>
      </c>
      <c r="V303" s="6" t="s">
        <v>23</v>
      </c>
      <c r="W303" s="6" t="s">
        <v>24</v>
      </c>
      <c r="Y303" s="6" t="s">
        <v>25</v>
      </c>
      <c r="Z303" s="4" t="s">
        <v>26</v>
      </c>
    </row>
    <row r="304" spans="1:26" ht="12.75">
      <c r="A304" s="11" t="s">
        <v>27</v>
      </c>
      <c r="B304" s="3" t="s">
        <v>28</v>
      </c>
      <c r="C304" s="7"/>
      <c r="D304" s="7"/>
      <c r="E304" s="7"/>
      <c r="F304" s="7"/>
      <c r="G304" s="3" t="s">
        <v>1</v>
      </c>
      <c r="J304">
        <f>(A307)</f>
        <v>0</v>
      </c>
      <c r="K304" s="4" t="s">
        <v>29</v>
      </c>
      <c r="M304" s="21" t="s">
        <v>30</v>
      </c>
      <c r="N304">
        <v>492</v>
      </c>
      <c r="O304">
        <v>11.781000000000001</v>
      </c>
      <c r="P304">
        <v>2.8980000000000001</v>
      </c>
      <c r="Q304">
        <v>4.766</v>
      </c>
      <c r="R304">
        <v>1.282</v>
      </c>
      <c r="S304">
        <v>9.8620000000000001</v>
      </c>
      <c r="T304">
        <v>0</v>
      </c>
      <c r="U304">
        <v>3</v>
      </c>
      <c r="V304">
        <v>6.75</v>
      </c>
      <c r="W304">
        <v>9.375</v>
      </c>
      <c r="X304">
        <v>22</v>
      </c>
      <c r="Y304">
        <v>10.47</v>
      </c>
      <c r="Z304">
        <v>0</v>
      </c>
    </row>
    <row r="305" spans="1:26" ht="12.75">
      <c r="A305" s="319">
        <f>'Estimating Form'!$D$18/12+N956</f>
        <v>1.3333333333333333</v>
      </c>
      <c r="B305" s="3" t="s">
        <v>31</v>
      </c>
      <c r="C305" s="7"/>
      <c r="D305" s="7"/>
      <c r="E305" s="7"/>
      <c r="F305" s="7"/>
      <c r="G305" s="7"/>
      <c r="J305">
        <f>VLOOKUP(A304,M301:Z332,7,FALSE)</f>
        <v>20.149999999999999</v>
      </c>
      <c r="K305" s="4" t="s">
        <v>32</v>
      </c>
      <c r="M305" s="22" t="s">
        <v>33</v>
      </c>
      <c r="N305" s="13">
        <v>492</v>
      </c>
      <c r="O305" s="13">
        <v>11.781000000000001</v>
      </c>
      <c r="P305" s="13">
        <v>5.94</v>
      </c>
      <c r="Q305" s="13">
        <v>8.33</v>
      </c>
      <c r="R305" s="13">
        <v>1.1839999999999999</v>
      </c>
      <c r="S305" s="13">
        <v>20.213999999999999</v>
      </c>
      <c r="T305" s="13">
        <v>0</v>
      </c>
      <c r="U305" s="13">
        <v>3</v>
      </c>
      <c r="V305" s="13">
        <v>6.75</v>
      </c>
      <c r="W305" s="13">
        <v>9.375</v>
      </c>
      <c r="X305" s="13">
        <v>22</v>
      </c>
      <c r="Y305" s="13">
        <v>10.47</v>
      </c>
      <c r="Z305" s="13">
        <v>0</v>
      </c>
    </row>
    <row r="306" spans="1:26" ht="12.75">
      <c r="A306" s="11">
        <v>0</v>
      </c>
      <c r="B306" s="3" t="s">
        <v>34</v>
      </c>
      <c r="C306" s="7"/>
      <c r="D306" s="7"/>
      <c r="E306" s="7"/>
      <c r="F306" s="7"/>
      <c r="G306" s="7"/>
      <c r="J306">
        <f>VLOOKUP(A304,M301:Z331,6,FALSE)</f>
        <v>2.1880000000000002</v>
      </c>
      <c r="K306" s="4" t="s">
        <v>35</v>
      </c>
      <c r="M306" s="21" t="s">
        <v>36</v>
      </c>
      <c r="N306">
        <v>594</v>
      </c>
      <c r="O306">
        <v>14.93</v>
      </c>
      <c r="P306">
        <v>3.3490000000000002</v>
      </c>
      <c r="Q306">
        <v>7.0650000000000004</v>
      </c>
      <c r="R306">
        <v>1.452</v>
      </c>
      <c r="S306">
        <v>11.396000000000001</v>
      </c>
      <c r="T306">
        <v>9.3125</v>
      </c>
      <c r="U306">
        <v>3</v>
      </c>
      <c r="V306">
        <v>5.5</v>
      </c>
      <c r="W306">
        <v>8.8125</v>
      </c>
      <c r="X306">
        <v>29</v>
      </c>
      <c r="Y306">
        <v>9.52</v>
      </c>
      <c r="Z306">
        <v>16.670000000000002</v>
      </c>
    </row>
    <row r="307" spans="1:26" ht="12.75">
      <c r="A307" s="11">
        <f>'Estimating Form'!$G$22</f>
        <v>0</v>
      </c>
      <c r="B307" s="3" t="s">
        <v>37</v>
      </c>
      <c r="C307" s="7"/>
      <c r="D307" s="7"/>
      <c r="E307" s="7"/>
      <c r="F307" s="7"/>
      <c r="G307" s="7"/>
      <c r="J307">
        <f>(A305*12+A306)</f>
        <v>16</v>
      </c>
      <c r="K307" s="4" t="s">
        <v>38</v>
      </c>
      <c r="M307" s="21" t="s">
        <v>39</v>
      </c>
      <c r="N307">
        <v>594</v>
      </c>
      <c r="O307">
        <v>14.93</v>
      </c>
      <c r="P307">
        <v>5.5170000000000003</v>
      </c>
      <c r="Q307">
        <v>10.686999999999999</v>
      </c>
      <c r="R307">
        <v>1.3919999999999999</v>
      </c>
      <c r="S307">
        <v>18.771999999999998</v>
      </c>
      <c r="T307">
        <v>9.3125</v>
      </c>
      <c r="U307">
        <v>3</v>
      </c>
      <c r="V307">
        <v>5.5</v>
      </c>
      <c r="W307">
        <v>8.8125</v>
      </c>
      <c r="X307">
        <v>29</v>
      </c>
      <c r="Y307">
        <v>9.52</v>
      </c>
      <c r="Z307">
        <v>16.670000000000002</v>
      </c>
    </row>
    <row r="308" spans="1:26" ht="12.75">
      <c r="A308" s="11">
        <f>'Estimating Form'!$D$20</f>
        <v>0</v>
      </c>
      <c r="B308" s="3" t="s">
        <v>40</v>
      </c>
      <c r="C308" s="7"/>
      <c r="D308" s="7"/>
      <c r="E308" s="7"/>
      <c r="F308" s="7"/>
      <c r="G308" s="7"/>
      <c r="J308">
        <f>(A305+A306/12)</f>
        <v>1.3333333333333333</v>
      </c>
      <c r="K308" s="4" t="s">
        <v>41</v>
      </c>
      <c r="M308" s="22" t="s">
        <v>42</v>
      </c>
      <c r="N308" s="13">
        <v>594</v>
      </c>
      <c r="O308" s="13">
        <v>14.93</v>
      </c>
      <c r="P308" s="13">
        <v>7.1269999999999998</v>
      </c>
      <c r="Q308" s="13">
        <v>12.893000000000001</v>
      </c>
      <c r="R308" s="13">
        <v>1.345</v>
      </c>
      <c r="S308" s="13">
        <v>24.251999999999999</v>
      </c>
      <c r="T308" s="13">
        <v>9.3125</v>
      </c>
      <c r="U308" s="13">
        <v>3</v>
      </c>
      <c r="V308" s="13">
        <v>5.5</v>
      </c>
      <c r="W308" s="13">
        <v>8.8125</v>
      </c>
      <c r="X308" s="13">
        <v>29</v>
      </c>
      <c r="Y308" s="13">
        <v>9.52</v>
      </c>
      <c r="Z308" s="13">
        <v>16.670000000000002</v>
      </c>
    </row>
    <row r="309" spans="1:26" ht="12.75">
      <c r="A309" s="11">
        <v>0</v>
      </c>
      <c r="B309" s="3" t="s">
        <v>43</v>
      </c>
      <c r="C309" s="7"/>
      <c r="D309" s="7"/>
      <c r="E309" s="7"/>
      <c r="F309" s="7"/>
      <c r="G309" s="7"/>
      <c r="M309" s="21" t="s">
        <v>44</v>
      </c>
      <c r="N309">
        <v>630</v>
      </c>
      <c r="O309">
        <v>23.114999999999998</v>
      </c>
      <c r="P309">
        <v>4.8</v>
      </c>
      <c r="Q309">
        <v>15.824999999999999</v>
      </c>
      <c r="R309">
        <v>1.8160000000000001</v>
      </c>
      <c r="S309">
        <v>16.332999999999998</v>
      </c>
      <c r="T309">
        <v>9.75</v>
      </c>
      <c r="U309">
        <v>3</v>
      </c>
      <c r="V309">
        <v>5.5</v>
      </c>
      <c r="W309">
        <v>9.1875</v>
      </c>
      <c r="X309">
        <v>43</v>
      </c>
      <c r="Y309">
        <v>6.95</v>
      </c>
      <c r="Z309">
        <v>10.9</v>
      </c>
    </row>
    <row r="310" spans="1:26" ht="12.75">
      <c r="A310" s="7"/>
      <c r="B310" s="7"/>
      <c r="C310" s="7"/>
      <c r="D310" s="7"/>
      <c r="E310" s="7"/>
      <c r="F310" s="7"/>
      <c r="G310" s="7"/>
      <c r="J310">
        <f>(J302*J303/(J304+(J305*J308/2)))*(J306/J307)^2</f>
        <v>2349547.0251085614</v>
      </c>
      <c r="M310" s="21" t="s">
        <v>45</v>
      </c>
      <c r="N310">
        <v>630</v>
      </c>
      <c r="O310">
        <v>23.114999999999998</v>
      </c>
      <c r="P310">
        <v>6.59</v>
      </c>
      <c r="Q310">
        <v>20.786000000000001</v>
      </c>
      <c r="R310">
        <v>1.776</v>
      </c>
      <c r="S310">
        <v>22.422000000000001</v>
      </c>
      <c r="T310">
        <v>9.75</v>
      </c>
      <c r="U310">
        <v>3</v>
      </c>
      <c r="V310">
        <v>5.5</v>
      </c>
      <c r="W310">
        <v>9.1875</v>
      </c>
      <c r="X310">
        <v>43</v>
      </c>
      <c r="Y310">
        <v>6.95</v>
      </c>
      <c r="Z310">
        <v>10.9</v>
      </c>
    </row>
    <row r="311" spans="1:26" ht="12.75">
      <c r="A311" s="12">
        <f>(J310)</f>
        <v>2349547.0251085614</v>
      </c>
      <c r="B311" s="3" t="s">
        <v>46</v>
      </c>
      <c r="C311" s="7"/>
      <c r="D311" s="7"/>
      <c r="E311" s="7"/>
      <c r="F311" s="7"/>
      <c r="G311" s="7"/>
      <c r="M311" s="21" t="s">
        <v>47</v>
      </c>
      <c r="N311">
        <v>630</v>
      </c>
      <c r="O311">
        <v>23.114999999999998</v>
      </c>
      <c r="P311">
        <v>8.5050000000000008</v>
      </c>
      <c r="Q311">
        <v>25.532</v>
      </c>
      <c r="R311">
        <v>1.7330000000000001</v>
      </c>
      <c r="S311">
        <v>28.94</v>
      </c>
      <c r="T311">
        <v>9.75</v>
      </c>
      <c r="U311">
        <v>3</v>
      </c>
      <c r="V311">
        <v>5.5</v>
      </c>
      <c r="W311">
        <v>9.1875</v>
      </c>
      <c r="X311">
        <v>43</v>
      </c>
      <c r="Y311">
        <v>6.95</v>
      </c>
      <c r="Z311">
        <v>10.9</v>
      </c>
    </row>
    <row r="312" spans="1:26" ht="12.75">
      <c r="A312" s="12">
        <f>(J316)</f>
        <v>0</v>
      </c>
      <c r="B312" s="3" t="s">
        <v>48</v>
      </c>
      <c r="C312" s="7"/>
      <c r="D312" s="7"/>
      <c r="E312" s="7"/>
      <c r="F312" s="7"/>
      <c r="G312" s="7"/>
      <c r="J312" s="4" t="s">
        <v>49</v>
      </c>
      <c r="M312" s="22" t="s">
        <v>50</v>
      </c>
      <c r="N312" s="13">
        <v>234</v>
      </c>
      <c r="O312" s="13">
        <v>23.114999999999998</v>
      </c>
      <c r="P312" s="13">
        <v>10.148999999999999</v>
      </c>
      <c r="Q312" s="13">
        <v>29.140999999999998</v>
      </c>
      <c r="R312" s="13">
        <v>1.694</v>
      </c>
      <c r="S312" s="13">
        <v>34.436</v>
      </c>
      <c r="T312" s="13">
        <v>9.75</v>
      </c>
      <c r="U312" s="13">
        <v>3</v>
      </c>
      <c r="V312" s="13">
        <v>5.5</v>
      </c>
      <c r="W312" s="13">
        <v>9.1875</v>
      </c>
      <c r="X312" s="13">
        <v>43</v>
      </c>
      <c r="Y312" s="13">
        <v>6.95</v>
      </c>
      <c r="Z312" s="13">
        <v>10.9</v>
      </c>
    </row>
    <row r="313" spans="1:26" ht="12.75">
      <c r="A313" s="11">
        <f>'Estimating Form'!$D$18/12+N957</f>
        <v>1.7708333333333333</v>
      </c>
      <c r="B313" s="3" t="s">
        <v>957</v>
      </c>
      <c r="J313">
        <f>VLOOKUP(A304,M301:Z331,IF(A309=1,13,12)+1,FALSE)</f>
        <v>3.41</v>
      </c>
      <c r="K313" s="4" t="s">
        <v>51</v>
      </c>
      <c r="M313" s="21" t="s">
        <v>27</v>
      </c>
      <c r="N313">
        <v>630</v>
      </c>
      <c r="O313">
        <v>33.03</v>
      </c>
      <c r="P313">
        <v>5.9219999999999997</v>
      </c>
      <c r="Q313">
        <v>28.338999999999999</v>
      </c>
      <c r="R313">
        <v>2.1880000000000002</v>
      </c>
      <c r="S313">
        <v>20.149999999999999</v>
      </c>
      <c r="T313">
        <v>9.75</v>
      </c>
      <c r="U313">
        <v>3</v>
      </c>
      <c r="V313">
        <v>5.5</v>
      </c>
      <c r="W313">
        <v>9.1875</v>
      </c>
      <c r="X313">
        <v>43</v>
      </c>
      <c r="Y313">
        <v>3.41</v>
      </c>
      <c r="Z313">
        <v>5.34</v>
      </c>
    </row>
    <row r="314" spans="1:26">
      <c r="A314" s="8"/>
      <c r="B314" s="4"/>
      <c r="J314">
        <f>(A308)</f>
        <v>0</v>
      </c>
      <c r="K314" s="4" t="s">
        <v>52</v>
      </c>
      <c r="M314" s="21" t="s">
        <v>53</v>
      </c>
      <c r="N314">
        <v>630</v>
      </c>
      <c r="O314">
        <v>33.03</v>
      </c>
      <c r="P314">
        <v>9.2799999999999994</v>
      </c>
      <c r="Q314">
        <v>41.933</v>
      </c>
      <c r="R314">
        <v>2.1259999999999999</v>
      </c>
      <c r="S314">
        <v>31.579000000000001</v>
      </c>
      <c r="T314">
        <v>9.75</v>
      </c>
      <c r="U314">
        <v>3</v>
      </c>
      <c r="V314">
        <v>5.5</v>
      </c>
      <c r="W314">
        <v>9.1875</v>
      </c>
      <c r="X314">
        <v>43</v>
      </c>
      <c r="Y314">
        <v>3.41</v>
      </c>
      <c r="Z314">
        <v>5.34</v>
      </c>
    </row>
    <row r="315" spans="1:26">
      <c r="A315" s="8"/>
      <c r="B315" s="9"/>
      <c r="M315" s="21" t="s">
        <v>54</v>
      </c>
      <c r="N315">
        <v>630</v>
      </c>
      <c r="O315">
        <v>33.03</v>
      </c>
      <c r="P315">
        <v>11.898999999999999</v>
      </c>
      <c r="Q315">
        <v>51.284999999999997</v>
      </c>
      <c r="R315">
        <v>2.0760000000000001</v>
      </c>
      <c r="S315">
        <v>40.488999999999997</v>
      </c>
      <c r="T315">
        <v>9.75</v>
      </c>
      <c r="U315">
        <v>3</v>
      </c>
      <c r="V315">
        <v>5.5</v>
      </c>
      <c r="W315">
        <v>9.1875</v>
      </c>
      <c r="X315">
        <v>43</v>
      </c>
      <c r="Y315">
        <v>3.41</v>
      </c>
      <c r="Z315">
        <v>5.34</v>
      </c>
    </row>
    <row r="316" spans="1:26">
      <c r="A316" s="8"/>
      <c r="B316" s="9"/>
      <c r="J316">
        <f>(J313*(J308+4)*J314*10^-6)</f>
        <v>0</v>
      </c>
      <c r="M316" s="22" t="s">
        <v>55</v>
      </c>
      <c r="N316" s="13">
        <v>630</v>
      </c>
      <c r="O316" s="13">
        <v>33.03</v>
      </c>
      <c r="P316" s="13">
        <v>14.196</v>
      </c>
      <c r="Q316" s="13">
        <v>58.588999999999999</v>
      </c>
      <c r="R316" s="13">
        <v>2.032</v>
      </c>
      <c r="S316" s="13">
        <v>48.304000000000002</v>
      </c>
      <c r="T316" s="13">
        <v>9.75</v>
      </c>
      <c r="U316" s="13">
        <v>3</v>
      </c>
      <c r="V316" s="13">
        <v>5.5</v>
      </c>
      <c r="W316" s="13">
        <v>9.1875</v>
      </c>
      <c r="X316" s="13">
        <v>43</v>
      </c>
      <c r="Y316" s="13">
        <v>3.41</v>
      </c>
      <c r="Z316" s="13">
        <v>5.34</v>
      </c>
    </row>
    <row r="317" spans="1:26">
      <c r="A317" s="8"/>
      <c r="M317" s="21" t="s">
        <v>56</v>
      </c>
      <c r="N317">
        <v>630</v>
      </c>
      <c r="O317">
        <v>44.031999999999996</v>
      </c>
      <c r="P317">
        <v>8.109</v>
      </c>
      <c r="Q317">
        <v>51.593000000000004</v>
      </c>
      <c r="R317">
        <v>2.5219999999999998</v>
      </c>
      <c r="S317">
        <v>27.591999999999999</v>
      </c>
      <c r="T317">
        <v>10.9375</v>
      </c>
      <c r="U317">
        <v>2.5</v>
      </c>
      <c r="V317">
        <v>6</v>
      </c>
      <c r="W317">
        <v>9.9375</v>
      </c>
      <c r="X317">
        <v>61</v>
      </c>
      <c r="Y317">
        <v>3</v>
      </c>
      <c r="Z317">
        <v>4.29</v>
      </c>
    </row>
    <row r="318" spans="1:26">
      <c r="A318" s="8"/>
      <c r="B318" s="9"/>
      <c r="M318" s="21" t="s">
        <v>57</v>
      </c>
      <c r="N318">
        <v>630</v>
      </c>
      <c r="O318">
        <v>44.031999999999996</v>
      </c>
      <c r="P318">
        <v>9.4350000000000005</v>
      </c>
      <c r="Q318">
        <v>59.033999999999999</v>
      </c>
      <c r="R318">
        <v>2.5009999999999999</v>
      </c>
      <c r="S318">
        <v>32.103999999999999</v>
      </c>
      <c r="T318">
        <v>10.9375</v>
      </c>
      <c r="U318">
        <v>2.5</v>
      </c>
      <c r="V318">
        <v>6</v>
      </c>
      <c r="W318">
        <v>9.9375</v>
      </c>
      <c r="X318">
        <v>61</v>
      </c>
      <c r="Y318">
        <v>3</v>
      </c>
      <c r="Z318">
        <v>4.29</v>
      </c>
    </row>
    <row r="319" spans="1:26" ht="15.75">
      <c r="A319" s="37"/>
      <c r="B319" s="97"/>
      <c r="C319" s="515" t="s">
        <v>93</v>
      </c>
      <c r="D319" s="515"/>
      <c r="E319" s="40">
        <f>(B320-A308)/(O313)-(0.39*A305)</f>
        <v>0.56373069936421416</v>
      </c>
      <c r="M319" s="23" t="s">
        <v>59</v>
      </c>
      <c r="N319">
        <v>630</v>
      </c>
      <c r="O319">
        <v>44.031999999999996</v>
      </c>
      <c r="P319">
        <v>14.49</v>
      </c>
      <c r="Q319">
        <v>84.834000000000003</v>
      </c>
      <c r="R319">
        <v>2.42</v>
      </c>
      <c r="S319">
        <v>49.305</v>
      </c>
      <c r="T319">
        <v>10.9375</v>
      </c>
      <c r="U319">
        <v>2.5</v>
      </c>
      <c r="V319">
        <v>6</v>
      </c>
      <c r="W319">
        <v>9.9375</v>
      </c>
      <c r="X319">
        <v>61</v>
      </c>
      <c r="Y319">
        <v>3</v>
      </c>
      <c r="Z319">
        <v>4.29</v>
      </c>
    </row>
    <row r="320" spans="1:26" ht="15.75">
      <c r="A320" s="37" t="s">
        <v>98</v>
      </c>
      <c r="B320" s="41">
        <f>A307+B324</f>
        <v>35.795624999999994</v>
      </c>
      <c r="C320" s="516" t="s">
        <v>99</v>
      </c>
      <c r="D320" s="516"/>
      <c r="E320" s="42">
        <f>((B320/(O313))*1.1)</f>
        <v>1.1921037693006358</v>
      </c>
      <c r="M320" s="24" t="s">
        <v>58</v>
      </c>
      <c r="N320" s="13">
        <v>630</v>
      </c>
      <c r="O320" s="13">
        <v>44.031999999999996</v>
      </c>
      <c r="P320" s="13">
        <v>19.181000000000001</v>
      </c>
      <c r="Q320" s="13">
        <v>105.14</v>
      </c>
      <c r="R320" s="13">
        <v>2.3410000000000002</v>
      </c>
      <c r="S320" s="13">
        <v>65.268000000000001</v>
      </c>
      <c r="T320" s="13">
        <v>10.9375</v>
      </c>
      <c r="U320" s="13">
        <v>2.5</v>
      </c>
      <c r="V320" s="13">
        <v>6</v>
      </c>
      <c r="W320" s="13">
        <v>9.9375</v>
      </c>
      <c r="X320" s="13">
        <v>61</v>
      </c>
      <c r="Y320" s="13">
        <v>3</v>
      </c>
      <c r="Z320" s="13">
        <v>4.29</v>
      </c>
    </row>
    <row r="321" spans="1:26" ht="15">
      <c r="A321" s="37"/>
      <c r="B321" s="38"/>
      <c r="C321" s="517" t="s">
        <v>106</v>
      </c>
      <c r="D321" s="514" t="str">
        <f>IF(E319&gt;90,"Good!","Too Low, increase GLOPU or decrease jack diameter, if above 50 use ASK ENGINEERING")</f>
        <v>Too Low, increase GLOPU or decrease jack diameter, if above 50 use ASK ENGINEERING</v>
      </c>
      <c r="E321" s="514"/>
      <c r="F321" s="10"/>
      <c r="M321" s="21" t="s">
        <v>60</v>
      </c>
      <c r="N321">
        <v>630</v>
      </c>
      <c r="O321">
        <v>56.578000000000003</v>
      </c>
      <c r="P321">
        <v>9.2829999999999995</v>
      </c>
      <c r="Q321">
        <v>76.736999999999995</v>
      </c>
      <c r="R321">
        <v>2.875</v>
      </c>
      <c r="S321">
        <v>31.588999999999999</v>
      </c>
      <c r="T321">
        <v>10.9375</v>
      </c>
      <c r="U321">
        <v>2.5</v>
      </c>
      <c r="V321">
        <v>6</v>
      </c>
      <c r="W321">
        <v>9.9375</v>
      </c>
      <c r="X321">
        <v>61</v>
      </c>
      <c r="Y321">
        <v>1.82</v>
      </c>
      <c r="Z321">
        <v>2.6</v>
      </c>
    </row>
    <row r="322" spans="1:26" ht="15.75" thickBot="1">
      <c r="A322" s="37"/>
      <c r="B322" s="44"/>
      <c r="C322" s="518"/>
      <c r="D322" s="519"/>
      <c r="E322" s="519"/>
      <c r="M322" s="21" t="s">
        <v>61</v>
      </c>
      <c r="N322">
        <v>630</v>
      </c>
      <c r="O322">
        <v>56.578000000000003</v>
      </c>
      <c r="P322">
        <v>10.734999999999999</v>
      </c>
      <c r="Q322">
        <v>87.494</v>
      </c>
      <c r="R322">
        <v>2.855</v>
      </c>
      <c r="S322">
        <v>36.527999999999999</v>
      </c>
      <c r="T322">
        <v>10.9375</v>
      </c>
      <c r="U322">
        <v>2.5</v>
      </c>
      <c r="V322">
        <v>6</v>
      </c>
      <c r="W322">
        <v>9.9375</v>
      </c>
      <c r="X322">
        <v>61</v>
      </c>
      <c r="Y322">
        <v>1.82</v>
      </c>
      <c r="Z322">
        <v>2.6</v>
      </c>
    </row>
    <row r="323" spans="1:26" ht="15">
      <c r="A323" s="37"/>
      <c r="B323" s="39"/>
      <c r="C323" s="512" t="s">
        <v>118</v>
      </c>
      <c r="D323" s="514" t="str">
        <f>IF(E320&gt;500,"Too High, reduce GLOPU or increase plunger diameter","Good!")</f>
        <v>Good!</v>
      </c>
      <c r="E323" s="514"/>
      <c r="M323" s="24" t="s">
        <v>70</v>
      </c>
      <c r="N323" s="13">
        <v>630</v>
      </c>
      <c r="O323" s="13">
        <v>56.578000000000003</v>
      </c>
      <c r="P323" s="13">
        <v>15.885999999999999</v>
      </c>
      <c r="Q323" s="13">
        <v>122.965</v>
      </c>
      <c r="R323" s="13">
        <v>2.782</v>
      </c>
      <c r="S323" s="13">
        <v>54.055</v>
      </c>
      <c r="T323" s="13">
        <v>10.9375</v>
      </c>
      <c r="U323" s="13">
        <v>2.5</v>
      </c>
      <c r="V323" s="13">
        <v>6</v>
      </c>
      <c r="W323" s="13">
        <v>9.9375</v>
      </c>
      <c r="X323" s="13">
        <v>61</v>
      </c>
      <c r="Y323" s="13">
        <v>1.82</v>
      </c>
      <c r="Z323" s="13">
        <v>2.6</v>
      </c>
    </row>
    <row r="324" spans="1:26" ht="15">
      <c r="A324" s="46" t="s">
        <v>122</v>
      </c>
      <c r="B324" s="96">
        <f>S305*A313</f>
        <v>35.795624999999994</v>
      </c>
      <c r="C324" s="513"/>
      <c r="D324" s="514"/>
      <c r="E324" s="514"/>
      <c r="M324" s="21" t="s">
        <v>62</v>
      </c>
      <c r="N324">
        <v>537</v>
      </c>
      <c r="O324">
        <v>70.695999999999998</v>
      </c>
      <c r="P324">
        <v>12.27</v>
      </c>
      <c r="Q324">
        <v>126.072</v>
      </c>
      <c r="R324">
        <v>3.2050000000000001</v>
      </c>
      <c r="S324">
        <v>41.75</v>
      </c>
      <c r="T324">
        <v>14.375</v>
      </c>
      <c r="U324">
        <v>2.5</v>
      </c>
      <c r="V324">
        <v>6</v>
      </c>
      <c r="W324">
        <v>12.9375</v>
      </c>
      <c r="X324">
        <v>80</v>
      </c>
      <c r="Y324">
        <v>1.66</v>
      </c>
      <c r="Z324">
        <v>2.62</v>
      </c>
    </row>
    <row r="325" spans="1:26">
      <c r="E325" s="10"/>
      <c r="F325" s="10"/>
      <c r="M325" s="22" t="s">
        <v>63</v>
      </c>
      <c r="N325" s="13">
        <v>537</v>
      </c>
      <c r="O325" s="13">
        <v>70.695999999999998</v>
      </c>
      <c r="P325" s="13">
        <v>18.847000000000001</v>
      </c>
      <c r="Q325" s="13">
        <v>183.79400000000001</v>
      </c>
      <c r="R325" s="13">
        <v>3.1230000000000002</v>
      </c>
      <c r="S325" s="13">
        <v>64.132000000000005</v>
      </c>
      <c r="T325" s="13">
        <v>14.375</v>
      </c>
      <c r="U325" s="13">
        <v>2.5</v>
      </c>
      <c r="V325" s="13">
        <v>6</v>
      </c>
      <c r="W325" s="13">
        <v>12.9375</v>
      </c>
      <c r="X325" s="13">
        <v>80</v>
      </c>
      <c r="Y325" s="13">
        <v>1.66</v>
      </c>
      <c r="Z325" s="13">
        <v>2.62</v>
      </c>
    </row>
    <row r="326" spans="1:26">
      <c r="A326" s="8"/>
      <c r="B326" s="9"/>
      <c r="M326" s="21" t="s">
        <v>64</v>
      </c>
      <c r="N326">
        <v>537</v>
      </c>
      <c r="O326">
        <v>88.456000000000003</v>
      </c>
      <c r="P326">
        <v>13.656000000000001</v>
      </c>
      <c r="Q326">
        <v>177.40799999999999</v>
      </c>
      <c r="R326">
        <v>3.6040000000000001</v>
      </c>
      <c r="S326">
        <v>46.466999999999999</v>
      </c>
      <c r="T326">
        <v>14.375</v>
      </c>
      <c r="U326">
        <v>2.5</v>
      </c>
      <c r="V326">
        <v>6</v>
      </c>
      <c r="W326">
        <v>13.3125</v>
      </c>
      <c r="X326">
        <v>80</v>
      </c>
      <c r="Y326">
        <v>1.06</v>
      </c>
      <c r="Z326">
        <v>1.67</v>
      </c>
    </row>
    <row r="327" spans="1:26">
      <c r="B327" s="9"/>
      <c r="M327" s="21" t="s">
        <v>65</v>
      </c>
      <c r="N327">
        <v>537</v>
      </c>
      <c r="O327">
        <v>88.456000000000003</v>
      </c>
      <c r="P327">
        <v>16.48</v>
      </c>
      <c r="Q327">
        <v>210.39400000000001</v>
      </c>
      <c r="R327">
        <v>3.573</v>
      </c>
      <c r="S327">
        <v>56.076999999999998</v>
      </c>
      <c r="T327">
        <v>14.375</v>
      </c>
      <c r="U327">
        <v>2.5</v>
      </c>
      <c r="V327">
        <v>6</v>
      </c>
      <c r="W327">
        <v>13.3125</v>
      </c>
      <c r="X327">
        <v>80</v>
      </c>
      <c r="Y327">
        <v>1.06</v>
      </c>
      <c r="Z327">
        <v>1.67</v>
      </c>
    </row>
    <row r="328" spans="1:26">
      <c r="B328" s="9"/>
      <c r="M328" s="22" t="s">
        <v>66</v>
      </c>
      <c r="N328" s="13">
        <v>537</v>
      </c>
      <c r="O328" s="13">
        <v>88.456000000000003</v>
      </c>
      <c r="P328" s="13">
        <v>20.350999999999999</v>
      </c>
      <c r="Q328" s="13">
        <v>253.547</v>
      </c>
      <c r="R328" s="13">
        <v>3.53</v>
      </c>
      <c r="S328" s="13">
        <v>69.248999999999995</v>
      </c>
      <c r="T328" s="13">
        <v>14.375</v>
      </c>
      <c r="U328" s="13">
        <v>2.5</v>
      </c>
      <c r="V328" s="13">
        <v>6</v>
      </c>
      <c r="W328" s="13">
        <v>13.3125</v>
      </c>
      <c r="X328" s="13">
        <v>80</v>
      </c>
      <c r="Y328" s="13">
        <v>1.06</v>
      </c>
      <c r="Z328" s="13">
        <v>1.67</v>
      </c>
    </row>
    <row r="329" spans="1:26">
      <c r="M329" s="21" t="s">
        <v>67</v>
      </c>
      <c r="N329">
        <v>449</v>
      </c>
      <c r="O329">
        <v>124.937</v>
      </c>
      <c r="P329">
        <v>16.503</v>
      </c>
      <c r="Q329">
        <v>306.48500000000001</v>
      </c>
      <c r="R329">
        <v>4.3090000000000002</v>
      </c>
      <c r="S329">
        <v>56.155999999999999</v>
      </c>
      <c r="T329">
        <v>0</v>
      </c>
      <c r="U329">
        <v>2.5</v>
      </c>
      <c r="V329">
        <v>6</v>
      </c>
      <c r="W329">
        <v>15.3125</v>
      </c>
      <c r="X329">
        <v>125</v>
      </c>
      <c r="Y329">
        <v>0.83899999999999997</v>
      </c>
      <c r="Z329">
        <v>0</v>
      </c>
    </row>
    <row r="330" spans="1:26">
      <c r="M330" s="22" t="s">
        <v>68</v>
      </c>
      <c r="N330" s="13">
        <v>449</v>
      </c>
      <c r="O330" s="13">
        <v>124.937</v>
      </c>
      <c r="P330" s="13">
        <v>18.78</v>
      </c>
      <c r="Q330" s="13">
        <v>345.36099999999999</v>
      </c>
      <c r="R330" s="13">
        <v>4.2880000000000003</v>
      </c>
      <c r="S330" s="13">
        <v>63.902999999999999</v>
      </c>
      <c r="T330" s="13">
        <v>0</v>
      </c>
      <c r="U330" s="13">
        <v>2.5</v>
      </c>
      <c r="V330" s="13">
        <v>6</v>
      </c>
      <c r="W330" s="13">
        <v>15.3125</v>
      </c>
      <c r="X330" s="13">
        <v>125</v>
      </c>
      <c r="Y330" s="13">
        <v>0.83899999999999997</v>
      </c>
      <c r="Z330" s="13">
        <v>0</v>
      </c>
    </row>
    <row r="331" spans="1:26">
      <c r="M331" s="22" t="s">
        <v>69</v>
      </c>
      <c r="N331" s="14">
        <v>449</v>
      </c>
      <c r="O331" s="14">
        <v>194.51900000000001</v>
      </c>
      <c r="P331" s="14">
        <v>25.079000000000001</v>
      </c>
      <c r="Q331" s="14">
        <v>726.36</v>
      </c>
      <c r="R331" s="14">
        <v>5.3819999999999997</v>
      </c>
      <c r="S331" s="14">
        <v>85.337000000000003</v>
      </c>
      <c r="T331" s="14">
        <v>0</v>
      </c>
      <c r="U331" s="14">
        <v>6</v>
      </c>
      <c r="V331" s="14">
        <v>6</v>
      </c>
      <c r="W331" s="14">
        <v>15.375</v>
      </c>
      <c r="X331" s="14">
        <v>192</v>
      </c>
      <c r="Y331" s="14">
        <v>0.54300000000000004</v>
      </c>
      <c r="Z331" s="14">
        <v>0</v>
      </c>
    </row>
    <row r="334" spans="1:26" ht="12.75">
      <c r="A334" s="3"/>
      <c r="B334" s="15"/>
      <c r="C334" s="16"/>
      <c r="D334" s="16"/>
      <c r="E334" s="16"/>
      <c r="F334" s="16"/>
      <c r="G334" s="20"/>
      <c r="H334" s="4" t="s">
        <v>1</v>
      </c>
      <c r="J334" s="4" t="s">
        <v>2</v>
      </c>
      <c r="M334" s="4" t="s">
        <v>3</v>
      </c>
    </row>
    <row r="335" spans="1:26" ht="12.75">
      <c r="A335" s="1"/>
      <c r="B335" s="1"/>
      <c r="C335" s="1"/>
      <c r="D335" s="1"/>
      <c r="E335" s="1"/>
      <c r="F335" s="1"/>
      <c r="G335" s="1"/>
      <c r="J335" s="5">
        <f>2.85*10^8</f>
        <v>285000000</v>
      </c>
      <c r="K335" s="4" t="s">
        <v>4</v>
      </c>
      <c r="N335" s="4" t="s">
        <v>5</v>
      </c>
      <c r="O335" s="6" t="s">
        <v>6</v>
      </c>
      <c r="P335" s="6" t="s">
        <v>7</v>
      </c>
      <c r="Q335" s="6" t="s">
        <v>8</v>
      </c>
      <c r="R335" s="6" t="s">
        <v>9</v>
      </c>
      <c r="S335" s="6" t="s">
        <v>10</v>
      </c>
      <c r="T335" s="6" t="s">
        <v>11</v>
      </c>
      <c r="U335" s="6" t="s">
        <v>11</v>
      </c>
      <c r="V335" s="6" t="s">
        <v>11</v>
      </c>
      <c r="W335" s="6" t="s">
        <v>11</v>
      </c>
      <c r="X335" s="6" t="s">
        <v>12</v>
      </c>
      <c r="Y335" s="520" t="s">
        <v>13</v>
      </c>
      <c r="Z335" s="520"/>
    </row>
    <row r="336" spans="1:26" ht="12.75">
      <c r="A336" s="1"/>
      <c r="B336" s="1"/>
      <c r="C336" s="1"/>
      <c r="D336" s="1"/>
      <c r="E336" s="1"/>
      <c r="F336" s="1"/>
      <c r="G336" s="1"/>
      <c r="J336">
        <f>VLOOKUP(A337,M334:Z364,4,FALSE)</f>
        <v>9.2799999999999994</v>
      </c>
      <c r="K336" s="4" t="s">
        <v>14</v>
      </c>
      <c r="M336" s="4" t="s">
        <v>15</v>
      </c>
      <c r="N336" s="4" t="s">
        <v>16</v>
      </c>
      <c r="O336" s="6" t="s">
        <v>17</v>
      </c>
      <c r="P336" s="6" t="s">
        <v>17</v>
      </c>
      <c r="Q336" s="6" t="s">
        <v>18</v>
      </c>
      <c r="R336" s="6" t="s">
        <v>19</v>
      </c>
      <c r="S336" s="6" t="s">
        <v>20</v>
      </c>
      <c r="T336" s="6" t="s">
        <v>21</v>
      </c>
      <c r="U336" s="6" t="s">
        <v>22</v>
      </c>
      <c r="V336" s="6" t="s">
        <v>23</v>
      </c>
      <c r="W336" s="6" t="s">
        <v>24</v>
      </c>
      <c r="Y336" s="6" t="s">
        <v>25</v>
      </c>
      <c r="Z336" s="4" t="s">
        <v>26</v>
      </c>
    </row>
    <row r="337" spans="1:26" ht="12.75">
      <c r="A337" s="11" t="s">
        <v>53</v>
      </c>
      <c r="B337" s="3" t="s">
        <v>28</v>
      </c>
      <c r="C337" s="7"/>
      <c r="D337" s="7"/>
      <c r="E337" s="7"/>
      <c r="F337" s="7"/>
      <c r="G337" s="3" t="s">
        <v>1</v>
      </c>
      <c r="J337">
        <f>(A340)</f>
        <v>0</v>
      </c>
      <c r="K337" s="4" t="s">
        <v>29</v>
      </c>
      <c r="M337" s="21" t="s">
        <v>30</v>
      </c>
      <c r="N337">
        <v>492</v>
      </c>
      <c r="O337">
        <v>11.781000000000001</v>
      </c>
      <c r="P337">
        <v>2.8980000000000001</v>
      </c>
      <c r="Q337">
        <v>4.766</v>
      </c>
      <c r="R337">
        <v>1.282</v>
      </c>
      <c r="S337">
        <v>9.8620000000000001</v>
      </c>
      <c r="T337">
        <v>0</v>
      </c>
      <c r="U337">
        <v>3</v>
      </c>
      <c r="V337">
        <v>6.75</v>
      </c>
      <c r="W337">
        <v>9.375</v>
      </c>
      <c r="X337">
        <v>22</v>
      </c>
      <c r="Y337">
        <v>10.47</v>
      </c>
      <c r="Z337">
        <v>0</v>
      </c>
    </row>
    <row r="338" spans="1:26" ht="12.75">
      <c r="A338" s="319">
        <f>'Estimating Form'!$D$18/12+N956</f>
        <v>1.3333333333333333</v>
      </c>
      <c r="B338" s="3" t="s">
        <v>31</v>
      </c>
      <c r="C338" s="7"/>
      <c r="D338" s="7"/>
      <c r="E338" s="7"/>
      <c r="F338" s="7"/>
      <c r="G338" s="7"/>
      <c r="J338">
        <f>VLOOKUP(A337,M334:Z365,7,FALSE)</f>
        <v>31.579000000000001</v>
      </c>
      <c r="K338" s="4" t="s">
        <v>32</v>
      </c>
      <c r="M338" s="22" t="s">
        <v>33</v>
      </c>
      <c r="N338" s="13">
        <v>492</v>
      </c>
      <c r="O338" s="13">
        <v>11.781000000000001</v>
      </c>
      <c r="P338" s="13">
        <v>5.94</v>
      </c>
      <c r="Q338" s="13">
        <v>8.33</v>
      </c>
      <c r="R338" s="13">
        <v>1.1839999999999999</v>
      </c>
      <c r="S338" s="13">
        <v>20.213999999999999</v>
      </c>
      <c r="T338" s="13">
        <v>0</v>
      </c>
      <c r="U338" s="13">
        <v>3</v>
      </c>
      <c r="V338" s="13">
        <v>6.75</v>
      </c>
      <c r="W338" s="13">
        <v>9.375</v>
      </c>
      <c r="X338" s="13">
        <v>22</v>
      </c>
      <c r="Y338" s="13">
        <v>10.47</v>
      </c>
      <c r="Z338" s="13">
        <v>0</v>
      </c>
    </row>
    <row r="339" spans="1:26" ht="12.75">
      <c r="A339" s="11">
        <v>0</v>
      </c>
      <c r="B339" s="3" t="s">
        <v>34</v>
      </c>
      <c r="C339" s="7"/>
      <c r="D339" s="7"/>
      <c r="E339" s="7"/>
      <c r="F339" s="7"/>
      <c r="G339" s="7"/>
      <c r="J339">
        <f>VLOOKUP(A337,M334:Z364,6,FALSE)</f>
        <v>2.1259999999999999</v>
      </c>
      <c r="K339" s="4" t="s">
        <v>35</v>
      </c>
      <c r="M339" s="21" t="s">
        <v>36</v>
      </c>
      <c r="N339">
        <v>594</v>
      </c>
      <c r="O339">
        <v>14.93</v>
      </c>
      <c r="P339">
        <v>3.3490000000000002</v>
      </c>
      <c r="Q339">
        <v>7.0650000000000004</v>
      </c>
      <c r="R339">
        <v>1.452</v>
      </c>
      <c r="S339">
        <v>11.396000000000001</v>
      </c>
      <c r="T339">
        <v>9.3125</v>
      </c>
      <c r="U339">
        <v>3</v>
      </c>
      <c r="V339">
        <v>5.5</v>
      </c>
      <c r="W339">
        <v>8.8125</v>
      </c>
      <c r="X339">
        <v>29</v>
      </c>
      <c r="Y339">
        <v>9.52</v>
      </c>
      <c r="Z339">
        <v>16.670000000000002</v>
      </c>
    </row>
    <row r="340" spans="1:26" ht="12.75">
      <c r="A340" s="11">
        <f>'Estimating Form'!$G$22</f>
        <v>0</v>
      </c>
      <c r="B340" s="3" t="s">
        <v>37</v>
      </c>
      <c r="C340" s="7"/>
      <c r="D340" s="7"/>
      <c r="E340" s="7"/>
      <c r="F340" s="7"/>
      <c r="G340" s="7"/>
      <c r="J340">
        <f>(A338*12+A339)</f>
        <v>16</v>
      </c>
      <c r="K340" s="4" t="s">
        <v>38</v>
      </c>
      <c r="M340" s="21" t="s">
        <v>39</v>
      </c>
      <c r="N340">
        <v>594</v>
      </c>
      <c r="O340">
        <v>14.93</v>
      </c>
      <c r="P340">
        <v>5.5170000000000003</v>
      </c>
      <c r="Q340">
        <v>10.686999999999999</v>
      </c>
      <c r="R340">
        <v>1.3919999999999999</v>
      </c>
      <c r="S340">
        <v>18.771999999999998</v>
      </c>
      <c r="T340">
        <v>9.3125</v>
      </c>
      <c r="U340">
        <v>3</v>
      </c>
      <c r="V340">
        <v>5.5</v>
      </c>
      <c r="W340">
        <v>8.8125</v>
      </c>
      <c r="X340">
        <v>29</v>
      </c>
      <c r="Y340">
        <v>9.52</v>
      </c>
      <c r="Z340">
        <v>16.670000000000002</v>
      </c>
    </row>
    <row r="341" spans="1:26" ht="12.75">
      <c r="A341" s="11">
        <f>'Estimating Form'!$D$20</f>
        <v>0</v>
      </c>
      <c r="B341" s="3" t="s">
        <v>40</v>
      </c>
      <c r="C341" s="7"/>
      <c r="D341" s="7"/>
      <c r="E341" s="7"/>
      <c r="F341" s="7"/>
      <c r="G341" s="7"/>
      <c r="J341">
        <f>(A338+A339/12)</f>
        <v>1.3333333333333333</v>
      </c>
      <c r="K341" s="4" t="s">
        <v>41</v>
      </c>
      <c r="M341" s="22" t="s">
        <v>42</v>
      </c>
      <c r="N341" s="13">
        <v>594</v>
      </c>
      <c r="O341" s="13">
        <v>14.93</v>
      </c>
      <c r="P341" s="13">
        <v>7.1269999999999998</v>
      </c>
      <c r="Q341" s="13">
        <v>12.893000000000001</v>
      </c>
      <c r="R341" s="13">
        <v>1.345</v>
      </c>
      <c r="S341" s="13">
        <v>24.251999999999999</v>
      </c>
      <c r="T341" s="13">
        <v>9.3125</v>
      </c>
      <c r="U341" s="13">
        <v>3</v>
      </c>
      <c r="V341" s="13">
        <v>5.5</v>
      </c>
      <c r="W341" s="13">
        <v>8.8125</v>
      </c>
      <c r="X341" s="13">
        <v>29</v>
      </c>
      <c r="Y341" s="13">
        <v>9.52</v>
      </c>
      <c r="Z341" s="13">
        <v>16.670000000000002</v>
      </c>
    </row>
    <row r="342" spans="1:26" ht="12.75">
      <c r="A342" s="11">
        <v>0</v>
      </c>
      <c r="B342" s="3" t="s">
        <v>43</v>
      </c>
      <c r="C342" s="7"/>
      <c r="D342" s="7"/>
      <c r="E342" s="7"/>
      <c r="F342" s="7"/>
      <c r="G342" s="7"/>
      <c r="M342" s="21" t="s">
        <v>44</v>
      </c>
      <c r="N342">
        <v>630</v>
      </c>
      <c r="O342">
        <v>23.114999999999998</v>
      </c>
      <c r="P342">
        <v>4.8</v>
      </c>
      <c r="Q342">
        <v>15.824999999999999</v>
      </c>
      <c r="R342">
        <v>1.8160000000000001</v>
      </c>
      <c r="S342">
        <v>16.332999999999998</v>
      </c>
      <c r="T342">
        <v>9.75</v>
      </c>
      <c r="U342">
        <v>3</v>
      </c>
      <c r="V342">
        <v>5.5</v>
      </c>
      <c r="W342">
        <v>9.1875</v>
      </c>
      <c r="X342">
        <v>43</v>
      </c>
      <c r="Y342">
        <v>6.95</v>
      </c>
      <c r="Z342">
        <v>10.9</v>
      </c>
    </row>
    <row r="343" spans="1:26" ht="12.75">
      <c r="A343" s="7"/>
      <c r="B343" s="7"/>
      <c r="C343" s="7"/>
      <c r="D343" s="7"/>
      <c r="E343" s="7"/>
      <c r="F343" s="7"/>
      <c r="G343" s="7"/>
      <c r="J343">
        <f>(J335*J336/(J337+(J338*J341/2)))*(J339/J340)^2</f>
        <v>2218054.8271794543</v>
      </c>
      <c r="M343" s="21" t="s">
        <v>45</v>
      </c>
      <c r="N343">
        <v>630</v>
      </c>
      <c r="O343">
        <v>23.114999999999998</v>
      </c>
      <c r="P343">
        <v>6.59</v>
      </c>
      <c r="Q343">
        <v>20.786000000000001</v>
      </c>
      <c r="R343">
        <v>1.776</v>
      </c>
      <c r="S343">
        <v>22.422000000000001</v>
      </c>
      <c r="T343">
        <v>9.75</v>
      </c>
      <c r="U343">
        <v>3</v>
      </c>
      <c r="V343">
        <v>5.5</v>
      </c>
      <c r="W343">
        <v>9.1875</v>
      </c>
      <c r="X343">
        <v>43</v>
      </c>
      <c r="Y343">
        <v>6.95</v>
      </c>
      <c r="Z343">
        <v>10.9</v>
      </c>
    </row>
    <row r="344" spans="1:26" ht="12.75">
      <c r="A344" s="12">
        <f>(J343)</f>
        <v>2218054.8271794543</v>
      </c>
      <c r="B344" s="3" t="s">
        <v>46</v>
      </c>
      <c r="C344" s="7"/>
      <c r="D344" s="7"/>
      <c r="E344" s="7"/>
      <c r="F344" s="7"/>
      <c r="G344" s="7"/>
      <c r="M344" s="21" t="s">
        <v>47</v>
      </c>
      <c r="N344">
        <v>630</v>
      </c>
      <c r="O344">
        <v>23.114999999999998</v>
      </c>
      <c r="P344">
        <v>8.5050000000000008</v>
      </c>
      <c r="Q344">
        <v>25.532</v>
      </c>
      <c r="R344">
        <v>1.7330000000000001</v>
      </c>
      <c r="S344">
        <v>28.94</v>
      </c>
      <c r="T344">
        <v>9.75</v>
      </c>
      <c r="U344">
        <v>3</v>
      </c>
      <c r="V344">
        <v>5.5</v>
      </c>
      <c r="W344">
        <v>9.1875</v>
      </c>
      <c r="X344">
        <v>43</v>
      </c>
      <c r="Y344">
        <v>6.95</v>
      </c>
      <c r="Z344">
        <v>10.9</v>
      </c>
    </row>
    <row r="345" spans="1:26" ht="12.75">
      <c r="A345" s="12">
        <f>(J349)</f>
        <v>0</v>
      </c>
      <c r="B345" s="3" t="s">
        <v>48</v>
      </c>
      <c r="C345" s="7"/>
      <c r="D345" s="7"/>
      <c r="E345" s="7"/>
      <c r="F345" s="7"/>
      <c r="G345" s="7"/>
      <c r="J345" s="4" t="s">
        <v>49</v>
      </c>
      <c r="M345" s="22" t="s">
        <v>50</v>
      </c>
      <c r="N345" s="13">
        <v>234</v>
      </c>
      <c r="O345" s="13">
        <v>23.114999999999998</v>
      </c>
      <c r="P345" s="13">
        <v>10.148999999999999</v>
      </c>
      <c r="Q345" s="13">
        <v>29.140999999999998</v>
      </c>
      <c r="R345" s="13">
        <v>1.694</v>
      </c>
      <c r="S345" s="13">
        <v>34.436</v>
      </c>
      <c r="T345" s="13">
        <v>9.75</v>
      </c>
      <c r="U345" s="13">
        <v>3</v>
      </c>
      <c r="V345" s="13">
        <v>5.5</v>
      </c>
      <c r="W345" s="13">
        <v>9.1875</v>
      </c>
      <c r="X345" s="13">
        <v>43</v>
      </c>
      <c r="Y345" s="13">
        <v>6.95</v>
      </c>
      <c r="Z345" s="13">
        <v>10.9</v>
      </c>
    </row>
    <row r="346" spans="1:26" ht="12.75">
      <c r="A346" s="11">
        <f>'Estimating Form'!$D$18/12+N957</f>
        <v>1.7708333333333333</v>
      </c>
      <c r="B346" s="3" t="s">
        <v>957</v>
      </c>
      <c r="J346">
        <f>VLOOKUP(A337,M334:Z364,IF(A342=1,13,12)+1,FALSE)</f>
        <v>3.41</v>
      </c>
      <c r="K346" s="4" t="s">
        <v>51</v>
      </c>
      <c r="M346" s="21" t="s">
        <v>27</v>
      </c>
      <c r="N346">
        <v>630</v>
      </c>
      <c r="O346">
        <v>33.03</v>
      </c>
      <c r="P346">
        <v>5.9219999999999997</v>
      </c>
      <c r="Q346">
        <v>28.338999999999999</v>
      </c>
      <c r="R346">
        <v>2.1880000000000002</v>
      </c>
      <c r="S346">
        <v>20.149999999999999</v>
      </c>
      <c r="T346">
        <v>9.75</v>
      </c>
      <c r="U346">
        <v>3</v>
      </c>
      <c r="V346">
        <v>5.5</v>
      </c>
      <c r="W346">
        <v>9.1875</v>
      </c>
      <c r="X346">
        <v>43</v>
      </c>
      <c r="Y346">
        <v>3.41</v>
      </c>
      <c r="Z346">
        <v>5.34</v>
      </c>
    </row>
    <row r="347" spans="1:26">
      <c r="A347" s="8"/>
      <c r="B347" s="4"/>
      <c r="J347">
        <f>(A341)</f>
        <v>0</v>
      </c>
      <c r="K347" s="4" t="s">
        <v>52</v>
      </c>
      <c r="M347" s="21" t="s">
        <v>53</v>
      </c>
      <c r="N347">
        <v>630</v>
      </c>
      <c r="O347">
        <v>33.03</v>
      </c>
      <c r="P347">
        <v>9.2799999999999994</v>
      </c>
      <c r="Q347">
        <v>41.933</v>
      </c>
      <c r="R347">
        <v>2.1259999999999999</v>
      </c>
      <c r="S347">
        <v>31.579000000000001</v>
      </c>
      <c r="T347">
        <v>9.75</v>
      </c>
      <c r="U347">
        <v>3</v>
      </c>
      <c r="V347">
        <v>5.5</v>
      </c>
      <c r="W347">
        <v>9.1875</v>
      </c>
      <c r="X347">
        <v>43</v>
      </c>
      <c r="Y347">
        <v>3.41</v>
      </c>
      <c r="Z347">
        <v>5.34</v>
      </c>
    </row>
    <row r="348" spans="1:26">
      <c r="A348" s="8"/>
      <c r="B348" s="9"/>
      <c r="M348" s="21" t="s">
        <v>54</v>
      </c>
      <c r="N348">
        <v>630</v>
      </c>
      <c r="O348">
        <v>33.03</v>
      </c>
      <c r="P348">
        <v>11.898999999999999</v>
      </c>
      <c r="Q348">
        <v>51.284999999999997</v>
      </c>
      <c r="R348">
        <v>2.0760000000000001</v>
      </c>
      <c r="S348">
        <v>40.488999999999997</v>
      </c>
      <c r="T348">
        <v>9.75</v>
      </c>
      <c r="U348">
        <v>3</v>
      </c>
      <c r="V348">
        <v>5.5</v>
      </c>
      <c r="W348">
        <v>9.1875</v>
      </c>
      <c r="X348">
        <v>43</v>
      </c>
      <c r="Y348">
        <v>3.41</v>
      </c>
      <c r="Z348">
        <v>5.34</v>
      </c>
    </row>
    <row r="349" spans="1:26">
      <c r="A349" s="8"/>
      <c r="B349" s="9"/>
      <c r="J349">
        <f>(J346*(J341+4)*J347*10^-6)</f>
        <v>0</v>
      </c>
      <c r="M349" s="22" t="s">
        <v>55</v>
      </c>
      <c r="N349" s="13">
        <v>630</v>
      </c>
      <c r="O349" s="13">
        <v>33.03</v>
      </c>
      <c r="P349" s="13">
        <v>14.196</v>
      </c>
      <c r="Q349" s="13">
        <v>58.588999999999999</v>
      </c>
      <c r="R349" s="13">
        <v>2.032</v>
      </c>
      <c r="S349" s="13">
        <v>48.304000000000002</v>
      </c>
      <c r="T349" s="13">
        <v>9.75</v>
      </c>
      <c r="U349" s="13">
        <v>3</v>
      </c>
      <c r="V349" s="13">
        <v>5.5</v>
      </c>
      <c r="W349" s="13">
        <v>9.1875</v>
      </c>
      <c r="X349" s="13">
        <v>43</v>
      </c>
      <c r="Y349" s="13">
        <v>3.41</v>
      </c>
      <c r="Z349" s="13">
        <v>5.34</v>
      </c>
    </row>
    <row r="350" spans="1:26">
      <c r="A350" s="8"/>
      <c r="M350" s="21" t="s">
        <v>56</v>
      </c>
      <c r="N350">
        <v>630</v>
      </c>
      <c r="O350">
        <v>44.031999999999996</v>
      </c>
      <c r="P350">
        <v>8.109</v>
      </c>
      <c r="Q350">
        <v>51.593000000000004</v>
      </c>
      <c r="R350">
        <v>2.5219999999999998</v>
      </c>
      <c r="S350">
        <v>27.591999999999999</v>
      </c>
      <c r="T350">
        <v>10.9375</v>
      </c>
      <c r="U350">
        <v>2.5</v>
      </c>
      <c r="V350">
        <v>6</v>
      </c>
      <c r="W350">
        <v>9.9375</v>
      </c>
      <c r="X350">
        <v>61</v>
      </c>
      <c r="Y350">
        <v>3</v>
      </c>
      <c r="Z350">
        <v>4.29</v>
      </c>
    </row>
    <row r="351" spans="1:26">
      <c r="A351" s="8"/>
      <c r="B351" s="9"/>
      <c r="M351" s="21" t="s">
        <v>57</v>
      </c>
      <c r="N351">
        <v>630</v>
      </c>
      <c r="O351">
        <v>44.031999999999996</v>
      </c>
      <c r="P351">
        <v>9.4350000000000005</v>
      </c>
      <c r="Q351">
        <v>59.033999999999999</v>
      </c>
      <c r="R351">
        <v>2.5009999999999999</v>
      </c>
      <c r="S351">
        <v>32.103999999999999</v>
      </c>
      <c r="T351">
        <v>10.9375</v>
      </c>
      <c r="U351">
        <v>2.5</v>
      </c>
      <c r="V351">
        <v>6</v>
      </c>
      <c r="W351">
        <v>9.9375</v>
      </c>
      <c r="X351">
        <v>61</v>
      </c>
      <c r="Y351">
        <v>3</v>
      </c>
      <c r="Z351">
        <v>4.29</v>
      </c>
    </row>
    <row r="352" spans="1:26" ht="15.75">
      <c r="A352" s="37"/>
      <c r="B352" s="97"/>
      <c r="C352" s="515" t="s">
        <v>93</v>
      </c>
      <c r="D352" s="515"/>
      <c r="E352" s="40">
        <f>(B353-A341)/(O347)-(0.39*A338)</f>
        <v>0.56373069936421416</v>
      </c>
      <c r="M352" s="23" t="s">
        <v>59</v>
      </c>
      <c r="N352">
        <v>630</v>
      </c>
      <c r="O352">
        <v>44.031999999999996</v>
      </c>
      <c r="P352">
        <v>14.49</v>
      </c>
      <c r="Q352">
        <v>84.834000000000003</v>
      </c>
      <c r="R352">
        <v>2.42</v>
      </c>
      <c r="S352">
        <v>49.305</v>
      </c>
      <c r="T352">
        <v>10.9375</v>
      </c>
      <c r="U352">
        <v>2.5</v>
      </c>
      <c r="V352">
        <v>6</v>
      </c>
      <c r="W352">
        <v>9.9375</v>
      </c>
      <c r="X352">
        <v>61</v>
      </c>
      <c r="Y352">
        <v>3</v>
      </c>
      <c r="Z352">
        <v>4.29</v>
      </c>
    </row>
    <row r="353" spans="1:26" ht="15.75">
      <c r="A353" s="37" t="s">
        <v>98</v>
      </c>
      <c r="B353" s="41">
        <f>A340+B357</f>
        <v>35.795624999999994</v>
      </c>
      <c r="C353" s="516" t="s">
        <v>99</v>
      </c>
      <c r="D353" s="516"/>
      <c r="E353" s="42">
        <f>((B353/(O347))*1.1)</f>
        <v>1.1921037693006358</v>
      </c>
      <c r="M353" s="24" t="s">
        <v>58</v>
      </c>
      <c r="N353" s="13">
        <v>630</v>
      </c>
      <c r="O353" s="13">
        <v>44.031999999999996</v>
      </c>
      <c r="P353" s="13">
        <v>19.181000000000001</v>
      </c>
      <c r="Q353" s="13">
        <v>105.14</v>
      </c>
      <c r="R353" s="13">
        <v>2.3410000000000002</v>
      </c>
      <c r="S353" s="13">
        <v>65.268000000000001</v>
      </c>
      <c r="T353" s="13">
        <v>10.9375</v>
      </c>
      <c r="U353" s="13">
        <v>2.5</v>
      </c>
      <c r="V353" s="13">
        <v>6</v>
      </c>
      <c r="W353" s="13">
        <v>9.9375</v>
      </c>
      <c r="X353" s="13">
        <v>61</v>
      </c>
      <c r="Y353" s="13">
        <v>3</v>
      </c>
      <c r="Z353" s="13">
        <v>4.29</v>
      </c>
    </row>
    <row r="354" spans="1:26" ht="15">
      <c r="A354" s="37"/>
      <c r="B354" s="38"/>
      <c r="C354" s="517" t="s">
        <v>106</v>
      </c>
      <c r="D354" s="514" t="str">
        <f>IF(E352&gt;90,"Good!","Too Low, increase GLOPU or decrease jack diameter, if above 50 use ASK ENGINEERING")</f>
        <v>Too Low, increase GLOPU or decrease jack diameter, if above 50 use ASK ENGINEERING</v>
      </c>
      <c r="E354" s="514"/>
      <c r="F354" s="10"/>
      <c r="M354" s="21" t="s">
        <v>60</v>
      </c>
      <c r="N354">
        <v>630</v>
      </c>
      <c r="O354">
        <v>56.578000000000003</v>
      </c>
      <c r="P354">
        <v>9.2829999999999995</v>
      </c>
      <c r="Q354">
        <v>76.736999999999995</v>
      </c>
      <c r="R354">
        <v>2.875</v>
      </c>
      <c r="S354">
        <v>31.588999999999999</v>
      </c>
      <c r="T354">
        <v>10.9375</v>
      </c>
      <c r="U354">
        <v>2.5</v>
      </c>
      <c r="V354">
        <v>6</v>
      </c>
      <c r="W354">
        <v>9.9375</v>
      </c>
      <c r="X354">
        <v>61</v>
      </c>
      <c r="Y354">
        <v>1.82</v>
      </c>
      <c r="Z354">
        <v>2.6</v>
      </c>
    </row>
    <row r="355" spans="1:26" ht="15.75" thickBot="1">
      <c r="A355" s="37"/>
      <c r="B355" s="44"/>
      <c r="C355" s="518"/>
      <c r="D355" s="519"/>
      <c r="E355" s="519"/>
      <c r="M355" s="21" t="s">
        <v>61</v>
      </c>
      <c r="N355">
        <v>630</v>
      </c>
      <c r="O355">
        <v>56.578000000000003</v>
      </c>
      <c r="P355">
        <v>10.734999999999999</v>
      </c>
      <c r="Q355">
        <v>87.494</v>
      </c>
      <c r="R355">
        <v>2.855</v>
      </c>
      <c r="S355">
        <v>36.527999999999999</v>
      </c>
      <c r="T355">
        <v>10.9375</v>
      </c>
      <c r="U355">
        <v>2.5</v>
      </c>
      <c r="V355">
        <v>6</v>
      </c>
      <c r="W355">
        <v>9.9375</v>
      </c>
      <c r="X355">
        <v>61</v>
      </c>
      <c r="Y355">
        <v>1.82</v>
      </c>
      <c r="Z355">
        <v>2.6</v>
      </c>
    </row>
    <row r="356" spans="1:26" ht="15">
      <c r="A356" s="37"/>
      <c r="B356" s="39"/>
      <c r="C356" s="512" t="s">
        <v>118</v>
      </c>
      <c r="D356" s="514" t="str">
        <f>IF(E353&gt;500,"Too High, reduce GLOPU or increase plunger diameter","Good!")</f>
        <v>Good!</v>
      </c>
      <c r="E356" s="514"/>
      <c r="M356" s="24" t="s">
        <v>70</v>
      </c>
      <c r="N356" s="13">
        <v>630</v>
      </c>
      <c r="O356" s="13">
        <v>56.578000000000003</v>
      </c>
      <c r="P356" s="13">
        <v>15.885999999999999</v>
      </c>
      <c r="Q356" s="13">
        <v>122.965</v>
      </c>
      <c r="R356" s="13">
        <v>2.782</v>
      </c>
      <c r="S356" s="13">
        <v>54.055</v>
      </c>
      <c r="T356" s="13">
        <v>10.9375</v>
      </c>
      <c r="U356" s="13">
        <v>2.5</v>
      </c>
      <c r="V356" s="13">
        <v>6</v>
      </c>
      <c r="W356" s="13">
        <v>9.9375</v>
      </c>
      <c r="X356" s="13">
        <v>61</v>
      </c>
      <c r="Y356" s="13">
        <v>1.82</v>
      </c>
      <c r="Z356" s="13">
        <v>2.6</v>
      </c>
    </row>
    <row r="357" spans="1:26" ht="15">
      <c r="A357" s="46" t="s">
        <v>122</v>
      </c>
      <c r="B357" s="96">
        <f>S338*A346</f>
        <v>35.795624999999994</v>
      </c>
      <c r="C357" s="513"/>
      <c r="D357" s="514"/>
      <c r="E357" s="514"/>
      <c r="M357" s="21" t="s">
        <v>62</v>
      </c>
      <c r="N357">
        <v>537</v>
      </c>
      <c r="O357">
        <v>70.695999999999998</v>
      </c>
      <c r="P357">
        <v>12.27</v>
      </c>
      <c r="Q357">
        <v>126.072</v>
      </c>
      <c r="R357">
        <v>3.2050000000000001</v>
      </c>
      <c r="S357">
        <v>41.75</v>
      </c>
      <c r="T357">
        <v>14.375</v>
      </c>
      <c r="U357">
        <v>2.5</v>
      </c>
      <c r="V357">
        <v>6</v>
      </c>
      <c r="W357">
        <v>12.9375</v>
      </c>
      <c r="X357">
        <v>80</v>
      </c>
      <c r="Y357">
        <v>1.66</v>
      </c>
      <c r="Z357">
        <v>2.62</v>
      </c>
    </row>
    <row r="358" spans="1:26">
      <c r="E358" s="10"/>
      <c r="F358" s="10"/>
      <c r="M358" s="22" t="s">
        <v>63</v>
      </c>
      <c r="N358" s="13">
        <v>537</v>
      </c>
      <c r="O358" s="13">
        <v>70.695999999999998</v>
      </c>
      <c r="P358" s="13">
        <v>18.847000000000001</v>
      </c>
      <c r="Q358" s="13">
        <v>183.79400000000001</v>
      </c>
      <c r="R358" s="13">
        <v>3.1230000000000002</v>
      </c>
      <c r="S358" s="13">
        <v>64.132000000000005</v>
      </c>
      <c r="T358" s="13">
        <v>14.375</v>
      </c>
      <c r="U358" s="13">
        <v>2.5</v>
      </c>
      <c r="V358" s="13">
        <v>6</v>
      </c>
      <c r="W358" s="13">
        <v>12.9375</v>
      </c>
      <c r="X358" s="13">
        <v>80</v>
      </c>
      <c r="Y358" s="13">
        <v>1.66</v>
      </c>
      <c r="Z358" s="13">
        <v>2.62</v>
      </c>
    </row>
    <row r="359" spans="1:26">
      <c r="A359" s="8"/>
      <c r="B359" s="9"/>
      <c r="M359" s="21" t="s">
        <v>64</v>
      </c>
      <c r="N359">
        <v>537</v>
      </c>
      <c r="O359">
        <v>88.456000000000003</v>
      </c>
      <c r="P359">
        <v>13.656000000000001</v>
      </c>
      <c r="Q359">
        <v>177.40799999999999</v>
      </c>
      <c r="R359">
        <v>3.6040000000000001</v>
      </c>
      <c r="S359">
        <v>46.466999999999999</v>
      </c>
      <c r="T359">
        <v>14.375</v>
      </c>
      <c r="U359">
        <v>2.5</v>
      </c>
      <c r="V359">
        <v>6</v>
      </c>
      <c r="W359">
        <v>13.3125</v>
      </c>
      <c r="X359">
        <v>80</v>
      </c>
      <c r="Y359">
        <v>1.06</v>
      </c>
      <c r="Z359">
        <v>1.67</v>
      </c>
    </row>
    <row r="360" spans="1:26">
      <c r="B360" s="9"/>
      <c r="M360" s="21" t="s">
        <v>65</v>
      </c>
      <c r="N360">
        <v>537</v>
      </c>
      <c r="O360">
        <v>88.456000000000003</v>
      </c>
      <c r="P360">
        <v>16.48</v>
      </c>
      <c r="Q360">
        <v>210.39400000000001</v>
      </c>
      <c r="R360">
        <v>3.573</v>
      </c>
      <c r="S360">
        <v>56.076999999999998</v>
      </c>
      <c r="T360">
        <v>14.375</v>
      </c>
      <c r="U360">
        <v>2.5</v>
      </c>
      <c r="V360">
        <v>6</v>
      </c>
      <c r="W360">
        <v>13.3125</v>
      </c>
      <c r="X360">
        <v>80</v>
      </c>
      <c r="Y360">
        <v>1.06</v>
      </c>
      <c r="Z360">
        <v>1.67</v>
      </c>
    </row>
    <row r="361" spans="1:26">
      <c r="B361" s="9"/>
      <c r="M361" s="22" t="s">
        <v>66</v>
      </c>
      <c r="N361" s="13">
        <v>537</v>
      </c>
      <c r="O361" s="13">
        <v>88.456000000000003</v>
      </c>
      <c r="P361" s="13">
        <v>20.350999999999999</v>
      </c>
      <c r="Q361" s="13">
        <v>253.547</v>
      </c>
      <c r="R361" s="13">
        <v>3.53</v>
      </c>
      <c r="S361" s="13">
        <v>69.248999999999995</v>
      </c>
      <c r="T361" s="13">
        <v>14.375</v>
      </c>
      <c r="U361" s="13">
        <v>2.5</v>
      </c>
      <c r="V361" s="13">
        <v>6</v>
      </c>
      <c r="W361" s="13">
        <v>13.3125</v>
      </c>
      <c r="X361" s="13">
        <v>80</v>
      </c>
      <c r="Y361" s="13">
        <v>1.06</v>
      </c>
      <c r="Z361" s="13">
        <v>1.67</v>
      </c>
    </row>
    <row r="362" spans="1:26">
      <c r="M362" s="21" t="s">
        <v>67</v>
      </c>
      <c r="N362">
        <v>449</v>
      </c>
      <c r="O362">
        <v>124.937</v>
      </c>
      <c r="P362">
        <v>16.503</v>
      </c>
      <c r="Q362">
        <v>306.48500000000001</v>
      </c>
      <c r="R362">
        <v>4.3090000000000002</v>
      </c>
      <c r="S362">
        <v>56.155999999999999</v>
      </c>
      <c r="T362">
        <v>0</v>
      </c>
      <c r="U362">
        <v>2.5</v>
      </c>
      <c r="V362">
        <v>6</v>
      </c>
      <c r="W362">
        <v>15.3125</v>
      </c>
      <c r="X362">
        <v>125</v>
      </c>
      <c r="Y362">
        <v>0.83899999999999997</v>
      </c>
      <c r="Z362">
        <v>0</v>
      </c>
    </row>
    <row r="363" spans="1:26">
      <c r="M363" s="22" t="s">
        <v>68</v>
      </c>
      <c r="N363" s="13">
        <v>449</v>
      </c>
      <c r="O363" s="13">
        <v>124.937</v>
      </c>
      <c r="P363" s="13">
        <v>18.78</v>
      </c>
      <c r="Q363" s="13">
        <v>345.36099999999999</v>
      </c>
      <c r="R363" s="13">
        <v>4.2880000000000003</v>
      </c>
      <c r="S363" s="13">
        <v>63.902999999999999</v>
      </c>
      <c r="T363" s="13">
        <v>0</v>
      </c>
      <c r="U363" s="13">
        <v>2.5</v>
      </c>
      <c r="V363" s="13">
        <v>6</v>
      </c>
      <c r="W363" s="13">
        <v>15.3125</v>
      </c>
      <c r="X363" s="13">
        <v>125</v>
      </c>
      <c r="Y363" s="13">
        <v>0.83899999999999997</v>
      </c>
      <c r="Z363" s="13">
        <v>0</v>
      </c>
    </row>
    <row r="364" spans="1:26">
      <c r="M364" s="22" t="s">
        <v>69</v>
      </c>
      <c r="N364" s="14">
        <v>449</v>
      </c>
      <c r="O364" s="14">
        <v>194.51900000000001</v>
      </c>
      <c r="P364" s="14">
        <v>25.079000000000001</v>
      </c>
      <c r="Q364" s="14">
        <v>726.36</v>
      </c>
      <c r="R364" s="14">
        <v>5.3819999999999997</v>
      </c>
      <c r="S364" s="14">
        <v>85.337000000000003</v>
      </c>
      <c r="T364" s="14">
        <v>0</v>
      </c>
      <c r="U364" s="14">
        <v>6</v>
      </c>
      <c r="V364" s="14">
        <v>6</v>
      </c>
      <c r="W364" s="14">
        <v>15.375</v>
      </c>
      <c r="X364" s="14">
        <v>192</v>
      </c>
      <c r="Y364" s="14">
        <v>0.54300000000000004</v>
      </c>
      <c r="Z364" s="14">
        <v>0</v>
      </c>
    </row>
    <row r="367" spans="1:26" ht="12.75">
      <c r="A367" s="3"/>
      <c r="B367" s="15"/>
      <c r="C367" s="16"/>
      <c r="D367" s="16"/>
      <c r="E367" s="16"/>
      <c r="F367" s="16"/>
      <c r="G367" s="20"/>
      <c r="H367" s="4" t="s">
        <v>1</v>
      </c>
      <c r="J367" s="4" t="s">
        <v>2</v>
      </c>
      <c r="M367" s="4" t="s">
        <v>3</v>
      </c>
    </row>
    <row r="368" spans="1:26" ht="12.75">
      <c r="A368" s="1"/>
      <c r="B368" s="1"/>
      <c r="C368" s="1"/>
      <c r="D368" s="1"/>
      <c r="E368" s="1"/>
      <c r="F368" s="1"/>
      <c r="G368" s="1"/>
      <c r="J368" s="5">
        <f>2.85*10^8</f>
        <v>285000000</v>
      </c>
      <c r="K368" s="4" t="s">
        <v>4</v>
      </c>
      <c r="N368" s="4" t="s">
        <v>5</v>
      </c>
      <c r="O368" s="6" t="s">
        <v>6</v>
      </c>
      <c r="P368" s="6" t="s">
        <v>7</v>
      </c>
      <c r="Q368" s="6" t="s">
        <v>8</v>
      </c>
      <c r="R368" s="6" t="s">
        <v>9</v>
      </c>
      <c r="S368" s="6" t="s">
        <v>10</v>
      </c>
      <c r="T368" s="6" t="s">
        <v>11</v>
      </c>
      <c r="U368" s="6" t="s">
        <v>11</v>
      </c>
      <c r="V368" s="6" t="s">
        <v>11</v>
      </c>
      <c r="W368" s="6" t="s">
        <v>11</v>
      </c>
      <c r="X368" s="6" t="s">
        <v>12</v>
      </c>
      <c r="Y368" s="520" t="s">
        <v>13</v>
      </c>
      <c r="Z368" s="520"/>
    </row>
    <row r="369" spans="1:26" ht="12.75">
      <c r="A369" s="1"/>
      <c r="B369" s="1"/>
      <c r="C369" s="1"/>
      <c r="D369" s="1"/>
      <c r="E369" s="1"/>
      <c r="F369" s="1"/>
      <c r="G369" s="1"/>
      <c r="J369">
        <f>VLOOKUP(A370,M367:Z397,4,FALSE)</f>
        <v>11.898999999999999</v>
      </c>
      <c r="K369" s="4" t="s">
        <v>14</v>
      </c>
      <c r="M369" s="4" t="s">
        <v>15</v>
      </c>
      <c r="N369" s="4" t="s">
        <v>16</v>
      </c>
      <c r="O369" s="6" t="s">
        <v>17</v>
      </c>
      <c r="P369" s="6" t="s">
        <v>17</v>
      </c>
      <c r="Q369" s="6" t="s">
        <v>18</v>
      </c>
      <c r="R369" s="6" t="s">
        <v>19</v>
      </c>
      <c r="S369" s="6" t="s">
        <v>20</v>
      </c>
      <c r="T369" s="6" t="s">
        <v>21</v>
      </c>
      <c r="U369" s="6" t="s">
        <v>22</v>
      </c>
      <c r="V369" s="6" t="s">
        <v>23</v>
      </c>
      <c r="W369" s="6" t="s">
        <v>24</v>
      </c>
      <c r="Y369" s="6" t="s">
        <v>25</v>
      </c>
      <c r="Z369" s="4" t="s">
        <v>26</v>
      </c>
    </row>
    <row r="370" spans="1:26" ht="12.75">
      <c r="A370" s="11" t="s">
        <v>54</v>
      </c>
      <c r="B370" s="3" t="s">
        <v>28</v>
      </c>
      <c r="C370" s="7"/>
      <c r="D370" s="7"/>
      <c r="E370" s="7"/>
      <c r="F370" s="7"/>
      <c r="G370" s="3" t="s">
        <v>1</v>
      </c>
      <c r="J370">
        <f>(A373)</f>
        <v>0</v>
      </c>
      <c r="K370" s="4" t="s">
        <v>29</v>
      </c>
      <c r="M370" s="21" t="s">
        <v>30</v>
      </c>
      <c r="N370">
        <v>492</v>
      </c>
      <c r="O370">
        <v>11.781000000000001</v>
      </c>
      <c r="P370">
        <v>2.8980000000000001</v>
      </c>
      <c r="Q370">
        <v>4.766</v>
      </c>
      <c r="R370">
        <v>1.282</v>
      </c>
      <c r="S370">
        <v>9.8620000000000001</v>
      </c>
      <c r="T370">
        <v>0</v>
      </c>
      <c r="U370">
        <v>3</v>
      </c>
      <c r="V370">
        <v>6.75</v>
      </c>
      <c r="W370">
        <v>9.375</v>
      </c>
      <c r="X370">
        <v>22</v>
      </c>
      <c r="Y370">
        <v>10.47</v>
      </c>
      <c r="Z370">
        <v>0</v>
      </c>
    </row>
    <row r="371" spans="1:26" ht="12.75">
      <c r="A371" s="319">
        <f>'Estimating Form'!$D$18/12+N956</f>
        <v>1.3333333333333333</v>
      </c>
      <c r="B371" s="3" t="s">
        <v>31</v>
      </c>
      <c r="C371" s="7"/>
      <c r="D371" s="7"/>
      <c r="E371" s="7"/>
      <c r="F371" s="7"/>
      <c r="G371" s="7"/>
      <c r="J371">
        <f>VLOOKUP(A370,M367:Z398,7,FALSE)</f>
        <v>40.488999999999997</v>
      </c>
      <c r="K371" s="4" t="s">
        <v>32</v>
      </c>
      <c r="M371" s="22" t="s">
        <v>33</v>
      </c>
      <c r="N371" s="13">
        <v>492</v>
      </c>
      <c r="O371" s="13">
        <v>11.781000000000001</v>
      </c>
      <c r="P371" s="13">
        <v>5.94</v>
      </c>
      <c r="Q371" s="13">
        <v>8.33</v>
      </c>
      <c r="R371" s="13">
        <v>1.1839999999999999</v>
      </c>
      <c r="S371" s="13">
        <v>20.213999999999999</v>
      </c>
      <c r="T371" s="13">
        <v>0</v>
      </c>
      <c r="U371" s="13">
        <v>3</v>
      </c>
      <c r="V371" s="13">
        <v>6.75</v>
      </c>
      <c r="W371" s="13">
        <v>9.375</v>
      </c>
      <c r="X371" s="13">
        <v>22</v>
      </c>
      <c r="Y371" s="13">
        <v>10.47</v>
      </c>
      <c r="Z371" s="13">
        <v>0</v>
      </c>
    </row>
    <row r="372" spans="1:26" ht="12.75">
      <c r="A372" s="11">
        <v>0</v>
      </c>
      <c r="B372" s="3" t="s">
        <v>34</v>
      </c>
      <c r="C372" s="7"/>
      <c r="D372" s="7"/>
      <c r="E372" s="7"/>
      <c r="F372" s="7"/>
      <c r="G372" s="7"/>
      <c r="J372">
        <f>VLOOKUP(A370,M367:Z397,6,FALSE)</f>
        <v>2.0760000000000001</v>
      </c>
      <c r="K372" s="4" t="s">
        <v>35</v>
      </c>
      <c r="M372" s="21" t="s">
        <v>36</v>
      </c>
      <c r="N372">
        <v>594</v>
      </c>
      <c r="O372">
        <v>14.93</v>
      </c>
      <c r="P372">
        <v>3.3490000000000002</v>
      </c>
      <c r="Q372">
        <v>7.0650000000000004</v>
      </c>
      <c r="R372">
        <v>1.452</v>
      </c>
      <c r="S372">
        <v>11.396000000000001</v>
      </c>
      <c r="T372">
        <v>9.3125</v>
      </c>
      <c r="U372">
        <v>3</v>
      </c>
      <c r="V372">
        <v>5.5</v>
      </c>
      <c r="W372">
        <v>8.8125</v>
      </c>
      <c r="X372">
        <v>29</v>
      </c>
      <c r="Y372">
        <v>9.52</v>
      </c>
      <c r="Z372">
        <v>16.670000000000002</v>
      </c>
    </row>
    <row r="373" spans="1:26" ht="12.75">
      <c r="A373" s="11">
        <f>'Estimating Form'!$G$22</f>
        <v>0</v>
      </c>
      <c r="B373" s="3" t="s">
        <v>37</v>
      </c>
      <c r="C373" s="7"/>
      <c r="D373" s="7"/>
      <c r="E373" s="7"/>
      <c r="F373" s="7"/>
      <c r="G373" s="7"/>
      <c r="J373">
        <f>(A371*12+A372)</f>
        <v>16</v>
      </c>
      <c r="K373" s="4" t="s">
        <v>38</v>
      </c>
      <c r="M373" s="21" t="s">
        <v>39</v>
      </c>
      <c r="N373">
        <v>594</v>
      </c>
      <c r="O373">
        <v>14.93</v>
      </c>
      <c r="P373">
        <v>5.5170000000000003</v>
      </c>
      <c r="Q373">
        <v>10.686999999999999</v>
      </c>
      <c r="R373">
        <v>1.3919999999999999</v>
      </c>
      <c r="S373">
        <v>18.771999999999998</v>
      </c>
      <c r="T373">
        <v>9.3125</v>
      </c>
      <c r="U373">
        <v>3</v>
      </c>
      <c r="V373">
        <v>5.5</v>
      </c>
      <c r="W373">
        <v>8.8125</v>
      </c>
      <c r="X373">
        <v>29</v>
      </c>
      <c r="Y373">
        <v>9.52</v>
      </c>
      <c r="Z373">
        <v>16.670000000000002</v>
      </c>
    </row>
    <row r="374" spans="1:26" ht="12.75">
      <c r="A374" s="11">
        <f>'Estimating Form'!$D$20</f>
        <v>0</v>
      </c>
      <c r="B374" s="3" t="s">
        <v>40</v>
      </c>
      <c r="C374" s="7"/>
      <c r="D374" s="7"/>
      <c r="E374" s="7"/>
      <c r="F374" s="7"/>
      <c r="G374" s="7"/>
      <c r="J374">
        <f>(A371+A372/12)</f>
        <v>1.3333333333333333</v>
      </c>
      <c r="K374" s="4" t="s">
        <v>41</v>
      </c>
      <c r="M374" s="22" t="s">
        <v>42</v>
      </c>
      <c r="N374" s="13">
        <v>594</v>
      </c>
      <c r="O374" s="13">
        <v>14.93</v>
      </c>
      <c r="P374" s="13">
        <v>7.1269999999999998</v>
      </c>
      <c r="Q374" s="13">
        <v>12.893000000000001</v>
      </c>
      <c r="R374" s="13">
        <v>1.345</v>
      </c>
      <c r="S374" s="13">
        <v>24.251999999999999</v>
      </c>
      <c r="T374" s="13">
        <v>9.3125</v>
      </c>
      <c r="U374" s="13">
        <v>3</v>
      </c>
      <c r="V374" s="13">
        <v>5.5</v>
      </c>
      <c r="W374" s="13">
        <v>8.8125</v>
      </c>
      <c r="X374" s="13">
        <v>29</v>
      </c>
      <c r="Y374" s="13">
        <v>9.52</v>
      </c>
      <c r="Z374" s="13">
        <v>16.670000000000002</v>
      </c>
    </row>
    <row r="375" spans="1:26" ht="12.75">
      <c r="A375" s="11">
        <v>0</v>
      </c>
      <c r="B375" s="3" t="s">
        <v>43</v>
      </c>
      <c r="C375" s="7"/>
      <c r="D375" s="7"/>
      <c r="E375" s="7"/>
      <c r="F375" s="7"/>
      <c r="G375" s="7"/>
      <c r="M375" s="21" t="s">
        <v>44</v>
      </c>
      <c r="N375">
        <v>630</v>
      </c>
      <c r="O375">
        <v>23.114999999999998</v>
      </c>
      <c r="P375">
        <v>4.8</v>
      </c>
      <c r="Q375">
        <v>15.824999999999999</v>
      </c>
      <c r="R375">
        <v>1.8160000000000001</v>
      </c>
      <c r="S375">
        <v>16.332999999999998</v>
      </c>
      <c r="T375">
        <v>9.75</v>
      </c>
      <c r="U375">
        <v>3</v>
      </c>
      <c r="V375">
        <v>5.5</v>
      </c>
      <c r="W375">
        <v>9.1875</v>
      </c>
      <c r="X375">
        <v>43</v>
      </c>
      <c r="Y375">
        <v>6.95</v>
      </c>
      <c r="Z375">
        <v>10.9</v>
      </c>
    </row>
    <row r="376" spans="1:26" ht="12.75">
      <c r="A376" s="7"/>
      <c r="B376" s="7"/>
      <c r="C376" s="7"/>
      <c r="D376" s="7"/>
      <c r="E376" s="7"/>
      <c r="F376" s="7"/>
      <c r="G376" s="7"/>
      <c r="J376">
        <f>(J368*J369/(J370+(J371*J374/2)))*(J372/J373)^2</f>
        <v>2115067.6656352649</v>
      </c>
      <c r="M376" s="21" t="s">
        <v>45</v>
      </c>
      <c r="N376">
        <v>630</v>
      </c>
      <c r="O376">
        <v>23.114999999999998</v>
      </c>
      <c r="P376">
        <v>6.59</v>
      </c>
      <c r="Q376">
        <v>20.786000000000001</v>
      </c>
      <c r="R376">
        <v>1.776</v>
      </c>
      <c r="S376">
        <v>22.422000000000001</v>
      </c>
      <c r="T376">
        <v>9.75</v>
      </c>
      <c r="U376">
        <v>3</v>
      </c>
      <c r="V376">
        <v>5.5</v>
      </c>
      <c r="W376">
        <v>9.1875</v>
      </c>
      <c r="X376">
        <v>43</v>
      </c>
      <c r="Y376">
        <v>6.95</v>
      </c>
      <c r="Z376">
        <v>10.9</v>
      </c>
    </row>
    <row r="377" spans="1:26" ht="12.75">
      <c r="A377" s="12">
        <f>(J376)</f>
        <v>2115067.6656352649</v>
      </c>
      <c r="B377" s="3" t="s">
        <v>46</v>
      </c>
      <c r="C377" s="7"/>
      <c r="D377" s="7"/>
      <c r="E377" s="7"/>
      <c r="F377" s="7"/>
      <c r="G377" s="7"/>
      <c r="M377" s="21" t="s">
        <v>47</v>
      </c>
      <c r="N377">
        <v>630</v>
      </c>
      <c r="O377">
        <v>23.114999999999998</v>
      </c>
      <c r="P377">
        <v>8.5050000000000008</v>
      </c>
      <c r="Q377">
        <v>25.532</v>
      </c>
      <c r="R377">
        <v>1.7330000000000001</v>
      </c>
      <c r="S377">
        <v>28.94</v>
      </c>
      <c r="T377">
        <v>9.75</v>
      </c>
      <c r="U377">
        <v>3</v>
      </c>
      <c r="V377">
        <v>5.5</v>
      </c>
      <c r="W377">
        <v>9.1875</v>
      </c>
      <c r="X377">
        <v>43</v>
      </c>
      <c r="Y377">
        <v>6.95</v>
      </c>
      <c r="Z377">
        <v>10.9</v>
      </c>
    </row>
    <row r="378" spans="1:26" ht="12.75">
      <c r="A378" s="12">
        <f>(J382)</f>
        <v>0</v>
      </c>
      <c r="B378" s="3" t="s">
        <v>48</v>
      </c>
      <c r="C378" s="7"/>
      <c r="D378" s="7"/>
      <c r="E378" s="7"/>
      <c r="F378" s="7"/>
      <c r="G378" s="7"/>
      <c r="J378" s="4" t="s">
        <v>49</v>
      </c>
      <c r="M378" s="22" t="s">
        <v>50</v>
      </c>
      <c r="N378" s="13">
        <v>234</v>
      </c>
      <c r="O378" s="13">
        <v>23.114999999999998</v>
      </c>
      <c r="P378" s="13">
        <v>10.148999999999999</v>
      </c>
      <c r="Q378" s="13">
        <v>29.140999999999998</v>
      </c>
      <c r="R378" s="13">
        <v>1.694</v>
      </c>
      <c r="S378" s="13">
        <v>34.436</v>
      </c>
      <c r="T378" s="13">
        <v>9.75</v>
      </c>
      <c r="U378" s="13">
        <v>3</v>
      </c>
      <c r="V378" s="13">
        <v>5.5</v>
      </c>
      <c r="W378" s="13">
        <v>9.1875</v>
      </c>
      <c r="X378" s="13">
        <v>43</v>
      </c>
      <c r="Y378" s="13">
        <v>6.95</v>
      </c>
      <c r="Z378" s="13">
        <v>10.9</v>
      </c>
    </row>
    <row r="379" spans="1:26" ht="12.75">
      <c r="A379" s="11">
        <f>'Estimating Form'!$D$18/12+N957</f>
        <v>1.7708333333333333</v>
      </c>
      <c r="B379" s="3" t="s">
        <v>957</v>
      </c>
      <c r="J379">
        <f>VLOOKUP(A370,M367:Z397,IF(A375=1,13,12)+1,FALSE)</f>
        <v>3.41</v>
      </c>
      <c r="K379" s="4" t="s">
        <v>51</v>
      </c>
      <c r="M379" s="21" t="s">
        <v>27</v>
      </c>
      <c r="N379">
        <v>630</v>
      </c>
      <c r="O379">
        <v>33.03</v>
      </c>
      <c r="P379">
        <v>5.9219999999999997</v>
      </c>
      <c r="Q379">
        <v>28.338999999999999</v>
      </c>
      <c r="R379">
        <v>2.1880000000000002</v>
      </c>
      <c r="S379">
        <v>20.149999999999999</v>
      </c>
      <c r="T379">
        <v>9.75</v>
      </c>
      <c r="U379">
        <v>3</v>
      </c>
      <c r="V379">
        <v>5.5</v>
      </c>
      <c r="W379">
        <v>9.1875</v>
      </c>
      <c r="X379">
        <v>43</v>
      </c>
      <c r="Y379">
        <v>3.41</v>
      </c>
      <c r="Z379">
        <v>5.34</v>
      </c>
    </row>
    <row r="380" spans="1:26">
      <c r="A380" s="8"/>
      <c r="B380" s="4"/>
      <c r="J380">
        <f>(A374)</f>
        <v>0</v>
      </c>
      <c r="K380" s="4" t="s">
        <v>52</v>
      </c>
      <c r="M380" s="21" t="s">
        <v>53</v>
      </c>
      <c r="N380">
        <v>630</v>
      </c>
      <c r="O380">
        <v>33.03</v>
      </c>
      <c r="P380">
        <v>9.2799999999999994</v>
      </c>
      <c r="Q380">
        <v>41.933</v>
      </c>
      <c r="R380">
        <v>2.1259999999999999</v>
      </c>
      <c r="S380">
        <v>31.579000000000001</v>
      </c>
      <c r="T380">
        <v>9.75</v>
      </c>
      <c r="U380">
        <v>3</v>
      </c>
      <c r="V380">
        <v>5.5</v>
      </c>
      <c r="W380">
        <v>9.1875</v>
      </c>
      <c r="X380">
        <v>43</v>
      </c>
      <c r="Y380">
        <v>3.41</v>
      </c>
      <c r="Z380">
        <v>5.34</v>
      </c>
    </row>
    <row r="381" spans="1:26">
      <c r="A381" s="8"/>
      <c r="B381" s="9"/>
      <c r="M381" s="21" t="s">
        <v>54</v>
      </c>
      <c r="N381">
        <v>630</v>
      </c>
      <c r="O381">
        <v>33.03</v>
      </c>
      <c r="P381">
        <v>11.898999999999999</v>
      </c>
      <c r="Q381">
        <v>51.284999999999997</v>
      </c>
      <c r="R381">
        <v>2.0760000000000001</v>
      </c>
      <c r="S381">
        <v>40.488999999999997</v>
      </c>
      <c r="T381">
        <v>9.75</v>
      </c>
      <c r="U381">
        <v>3</v>
      </c>
      <c r="V381">
        <v>5.5</v>
      </c>
      <c r="W381">
        <v>9.1875</v>
      </c>
      <c r="X381">
        <v>43</v>
      </c>
      <c r="Y381">
        <v>3.41</v>
      </c>
      <c r="Z381">
        <v>5.34</v>
      </c>
    </row>
    <row r="382" spans="1:26">
      <c r="A382" s="8"/>
      <c r="B382" s="9"/>
      <c r="J382">
        <f>(J379*(J374+4)*J380*10^-6)</f>
        <v>0</v>
      </c>
      <c r="M382" s="22" t="s">
        <v>55</v>
      </c>
      <c r="N382" s="13">
        <v>630</v>
      </c>
      <c r="O382" s="13">
        <v>33.03</v>
      </c>
      <c r="P382" s="13">
        <v>14.196</v>
      </c>
      <c r="Q382" s="13">
        <v>58.588999999999999</v>
      </c>
      <c r="R382" s="13">
        <v>2.032</v>
      </c>
      <c r="S382" s="13">
        <v>48.304000000000002</v>
      </c>
      <c r="T382" s="13">
        <v>9.75</v>
      </c>
      <c r="U382" s="13">
        <v>3</v>
      </c>
      <c r="V382" s="13">
        <v>5.5</v>
      </c>
      <c r="W382" s="13">
        <v>9.1875</v>
      </c>
      <c r="X382" s="13">
        <v>43</v>
      </c>
      <c r="Y382" s="13">
        <v>3.41</v>
      </c>
      <c r="Z382" s="13">
        <v>5.34</v>
      </c>
    </row>
    <row r="383" spans="1:26">
      <c r="A383" s="8"/>
      <c r="M383" s="21" t="s">
        <v>56</v>
      </c>
      <c r="N383">
        <v>630</v>
      </c>
      <c r="O383">
        <v>44.031999999999996</v>
      </c>
      <c r="P383">
        <v>8.109</v>
      </c>
      <c r="Q383">
        <v>51.593000000000004</v>
      </c>
      <c r="R383">
        <v>2.5219999999999998</v>
      </c>
      <c r="S383">
        <v>27.591999999999999</v>
      </c>
      <c r="T383">
        <v>10.9375</v>
      </c>
      <c r="U383">
        <v>2.5</v>
      </c>
      <c r="V383">
        <v>6</v>
      </c>
      <c r="W383">
        <v>9.9375</v>
      </c>
      <c r="X383">
        <v>61</v>
      </c>
      <c r="Y383">
        <v>3</v>
      </c>
      <c r="Z383">
        <v>4.29</v>
      </c>
    </row>
    <row r="384" spans="1:26">
      <c r="A384" s="8"/>
      <c r="B384" s="9"/>
      <c r="M384" s="21" t="s">
        <v>57</v>
      </c>
      <c r="N384">
        <v>630</v>
      </c>
      <c r="O384">
        <v>44.031999999999996</v>
      </c>
      <c r="P384">
        <v>9.4350000000000005</v>
      </c>
      <c r="Q384">
        <v>59.033999999999999</v>
      </c>
      <c r="R384">
        <v>2.5009999999999999</v>
      </c>
      <c r="S384">
        <v>32.103999999999999</v>
      </c>
      <c r="T384">
        <v>10.9375</v>
      </c>
      <c r="U384">
        <v>2.5</v>
      </c>
      <c r="V384">
        <v>6</v>
      </c>
      <c r="W384">
        <v>9.9375</v>
      </c>
      <c r="X384">
        <v>61</v>
      </c>
      <c r="Y384">
        <v>3</v>
      </c>
      <c r="Z384">
        <v>4.29</v>
      </c>
    </row>
    <row r="385" spans="1:26" ht="15.75">
      <c r="A385" s="37"/>
      <c r="B385" s="97"/>
      <c r="C385" s="515" t="s">
        <v>93</v>
      </c>
      <c r="D385" s="515"/>
      <c r="E385" s="40">
        <f>(B386-A374)/(O381)-(0.39*A371)</f>
        <v>0.56373069936421416</v>
      </c>
      <c r="M385" s="23" t="s">
        <v>59</v>
      </c>
      <c r="N385">
        <v>630</v>
      </c>
      <c r="O385">
        <v>44.031999999999996</v>
      </c>
      <c r="P385">
        <v>14.49</v>
      </c>
      <c r="Q385">
        <v>84.834000000000003</v>
      </c>
      <c r="R385">
        <v>2.42</v>
      </c>
      <c r="S385">
        <v>49.305</v>
      </c>
      <c r="T385">
        <v>10.9375</v>
      </c>
      <c r="U385">
        <v>2.5</v>
      </c>
      <c r="V385">
        <v>6</v>
      </c>
      <c r="W385">
        <v>9.9375</v>
      </c>
      <c r="X385">
        <v>61</v>
      </c>
      <c r="Y385">
        <v>3</v>
      </c>
      <c r="Z385">
        <v>4.29</v>
      </c>
    </row>
    <row r="386" spans="1:26" ht="15.75">
      <c r="A386" s="37" t="s">
        <v>98</v>
      </c>
      <c r="B386" s="41">
        <f>A373+B390</f>
        <v>35.795624999999994</v>
      </c>
      <c r="C386" s="516" t="s">
        <v>99</v>
      </c>
      <c r="D386" s="516"/>
      <c r="E386" s="42">
        <f>((B386/(O381))*1.1)</f>
        <v>1.1921037693006358</v>
      </c>
      <c r="M386" s="24" t="s">
        <v>58</v>
      </c>
      <c r="N386" s="13">
        <v>630</v>
      </c>
      <c r="O386" s="13">
        <v>44.031999999999996</v>
      </c>
      <c r="P386" s="13">
        <v>19.181000000000001</v>
      </c>
      <c r="Q386" s="13">
        <v>105.14</v>
      </c>
      <c r="R386" s="13">
        <v>2.3410000000000002</v>
      </c>
      <c r="S386" s="13">
        <v>65.268000000000001</v>
      </c>
      <c r="T386" s="13">
        <v>10.9375</v>
      </c>
      <c r="U386" s="13">
        <v>2.5</v>
      </c>
      <c r="V386" s="13">
        <v>6</v>
      </c>
      <c r="W386" s="13">
        <v>9.9375</v>
      </c>
      <c r="X386" s="13">
        <v>61</v>
      </c>
      <c r="Y386" s="13">
        <v>3</v>
      </c>
      <c r="Z386" s="13">
        <v>4.29</v>
      </c>
    </row>
    <row r="387" spans="1:26" ht="15">
      <c r="A387" s="37"/>
      <c r="B387" s="38"/>
      <c r="C387" s="517" t="s">
        <v>106</v>
      </c>
      <c r="D387" s="514" t="str">
        <f>IF(E385&gt;90,"Good!","Too Low, increase GLOPU or decrease jack diameter, if above 50 use ASK ENGINEERING")</f>
        <v>Too Low, increase GLOPU or decrease jack diameter, if above 50 use ASK ENGINEERING</v>
      </c>
      <c r="E387" s="514"/>
      <c r="F387" s="10"/>
      <c r="M387" s="21" t="s">
        <v>60</v>
      </c>
      <c r="N387">
        <v>630</v>
      </c>
      <c r="O387">
        <v>56.578000000000003</v>
      </c>
      <c r="P387">
        <v>9.2829999999999995</v>
      </c>
      <c r="Q387">
        <v>76.736999999999995</v>
      </c>
      <c r="R387">
        <v>2.875</v>
      </c>
      <c r="S387">
        <v>31.588999999999999</v>
      </c>
      <c r="T387">
        <v>10.9375</v>
      </c>
      <c r="U387">
        <v>2.5</v>
      </c>
      <c r="V387">
        <v>6</v>
      </c>
      <c r="W387">
        <v>9.9375</v>
      </c>
      <c r="X387">
        <v>61</v>
      </c>
      <c r="Y387">
        <v>1.82</v>
      </c>
      <c r="Z387">
        <v>2.6</v>
      </c>
    </row>
    <row r="388" spans="1:26" ht="15.75" thickBot="1">
      <c r="A388" s="37"/>
      <c r="B388" s="44"/>
      <c r="C388" s="518"/>
      <c r="D388" s="519"/>
      <c r="E388" s="519"/>
      <c r="M388" s="21" t="s">
        <v>61</v>
      </c>
      <c r="N388">
        <v>630</v>
      </c>
      <c r="O388">
        <v>56.578000000000003</v>
      </c>
      <c r="P388">
        <v>10.734999999999999</v>
      </c>
      <c r="Q388">
        <v>87.494</v>
      </c>
      <c r="R388">
        <v>2.855</v>
      </c>
      <c r="S388">
        <v>36.527999999999999</v>
      </c>
      <c r="T388">
        <v>10.9375</v>
      </c>
      <c r="U388">
        <v>2.5</v>
      </c>
      <c r="V388">
        <v>6</v>
      </c>
      <c r="W388">
        <v>9.9375</v>
      </c>
      <c r="X388">
        <v>61</v>
      </c>
      <c r="Y388">
        <v>1.82</v>
      </c>
      <c r="Z388">
        <v>2.6</v>
      </c>
    </row>
    <row r="389" spans="1:26" ht="15">
      <c r="A389" s="37"/>
      <c r="B389" s="39"/>
      <c r="C389" s="512" t="s">
        <v>118</v>
      </c>
      <c r="D389" s="514" t="str">
        <f>IF(E386&gt;500,"Too High, reduce GLOPU or increase plunger diameter","Good!")</f>
        <v>Good!</v>
      </c>
      <c r="E389" s="514"/>
      <c r="M389" s="24" t="s">
        <v>70</v>
      </c>
      <c r="N389" s="13">
        <v>630</v>
      </c>
      <c r="O389" s="13">
        <v>56.578000000000003</v>
      </c>
      <c r="P389" s="13">
        <v>15.885999999999999</v>
      </c>
      <c r="Q389" s="13">
        <v>122.965</v>
      </c>
      <c r="R389" s="13">
        <v>2.782</v>
      </c>
      <c r="S389" s="13">
        <v>54.055</v>
      </c>
      <c r="T389" s="13">
        <v>10.9375</v>
      </c>
      <c r="U389" s="13">
        <v>2.5</v>
      </c>
      <c r="V389" s="13">
        <v>6</v>
      </c>
      <c r="W389" s="13">
        <v>9.9375</v>
      </c>
      <c r="X389" s="13">
        <v>61</v>
      </c>
      <c r="Y389" s="13">
        <v>1.82</v>
      </c>
      <c r="Z389" s="13">
        <v>2.6</v>
      </c>
    </row>
    <row r="390" spans="1:26" ht="15">
      <c r="A390" s="46" t="s">
        <v>122</v>
      </c>
      <c r="B390" s="96">
        <f>S371*A379</f>
        <v>35.795624999999994</v>
      </c>
      <c r="C390" s="513"/>
      <c r="D390" s="514"/>
      <c r="E390" s="514"/>
      <c r="M390" s="21" t="s">
        <v>62</v>
      </c>
      <c r="N390">
        <v>537</v>
      </c>
      <c r="O390">
        <v>70.695999999999998</v>
      </c>
      <c r="P390">
        <v>12.27</v>
      </c>
      <c r="Q390">
        <v>126.072</v>
      </c>
      <c r="R390">
        <v>3.2050000000000001</v>
      </c>
      <c r="S390">
        <v>41.75</v>
      </c>
      <c r="T390">
        <v>14.375</v>
      </c>
      <c r="U390">
        <v>2.5</v>
      </c>
      <c r="V390">
        <v>6</v>
      </c>
      <c r="W390">
        <v>12.9375</v>
      </c>
      <c r="X390">
        <v>80</v>
      </c>
      <c r="Y390">
        <v>1.66</v>
      </c>
      <c r="Z390">
        <v>2.62</v>
      </c>
    </row>
    <row r="391" spans="1:26">
      <c r="E391" s="10"/>
      <c r="F391" s="10"/>
      <c r="M391" s="22" t="s">
        <v>63</v>
      </c>
      <c r="N391" s="13">
        <v>537</v>
      </c>
      <c r="O391" s="13">
        <v>70.695999999999998</v>
      </c>
      <c r="P391" s="13">
        <v>18.847000000000001</v>
      </c>
      <c r="Q391" s="13">
        <v>183.79400000000001</v>
      </c>
      <c r="R391" s="13">
        <v>3.1230000000000002</v>
      </c>
      <c r="S391" s="13">
        <v>64.132000000000005</v>
      </c>
      <c r="T391" s="13">
        <v>14.375</v>
      </c>
      <c r="U391" s="13">
        <v>2.5</v>
      </c>
      <c r="V391" s="13">
        <v>6</v>
      </c>
      <c r="W391" s="13">
        <v>12.9375</v>
      </c>
      <c r="X391" s="13">
        <v>80</v>
      </c>
      <c r="Y391" s="13">
        <v>1.66</v>
      </c>
      <c r="Z391" s="13">
        <v>2.62</v>
      </c>
    </row>
    <row r="392" spans="1:26">
      <c r="A392" s="8"/>
      <c r="B392" s="9"/>
      <c r="M392" s="21" t="s">
        <v>64</v>
      </c>
      <c r="N392">
        <v>537</v>
      </c>
      <c r="O392">
        <v>88.456000000000003</v>
      </c>
      <c r="P392">
        <v>13.656000000000001</v>
      </c>
      <c r="Q392">
        <v>177.40799999999999</v>
      </c>
      <c r="R392">
        <v>3.6040000000000001</v>
      </c>
      <c r="S392">
        <v>46.466999999999999</v>
      </c>
      <c r="T392">
        <v>14.375</v>
      </c>
      <c r="U392">
        <v>2.5</v>
      </c>
      <c r="V392">
        <v>6</v>
      </c>
      <c r="W392">
        <v>13.3125</v>
      </c>
      <c r="X392">
        <v>80</v>
      </c>
      <c r="Y392">
        <v>1.06</v>
      </c>
      <c r="Z392">
        <v>1.67</v>
      </c>
    </row>
    <row r="393" spans="1:26">
      <c r="B393" s="9"/>
      <c r="M393" s="21" t="s">
        <v>65</v>
      </c>
      <c r="N393">
        <v>537</v>
      </c>
      <c r="O393">
        <v>88.456000000000003</v>
      </c>
      <c r="P393">
        <v>16.48</v>
      </c>
      <c r="Q393">
        <v>210.39400000000001</v>
      </c>
      <c r="R393">
        <v>3.573</v>
      </c>
      <c r="S393">
        <v>56.076999999999998</v>
      </c>
      <c r="T393">
        <v>14.375</v>
      </c>
      <c r="U393">
        <v>2.5</v>
      </c>
      <c r="V393">
        <v>6</v>
      </c>
      <c r="W393">
        <v>13.3125</v>
      </c>
      <c r="X393">
        <v>80</v>
      </c>
      <c r="Y393">
        <v>1.06</v>
      </c>
      <c r="Z393">
        <v>1.67</v>
      </c>
    </row>
    <row r="394" spans="1:26">
      <c r="B394" s="9"/>
      <c r="M394" s="22" t="s">
        <v>66</v>
      </c>
      <c r="N394" s="13">
        <v>537</v>
      </c>
      <c r="O394" s="13">
        <v>88.456000000000003</v>
      </c>
      <c r="P394" s="13">
        <v>20.350999999999999</v>
      </c>
      <c r="Q394" s="13">
        <v>253.547</v>
      </c>
      <c r="R394" s="13">
        <v>3.53</v>
      </c>
      <c r="S394" s="13">
        <v>69.248999999999995</v>
      </c>
      <c r="T394" s="13">
        <v>14.375</v>
      </c>
      <c r="U394" s="13">
        <v>2.5</v>
      </c>
      <c r="V394" s="13">
        <v>6</v>
      </c>
      <c r="W394" s="13">
        <v>13.3125</v>
      </c>
      <c r="X394" s="13">
        <v>80</v>
      </c>
      <c r="Y394" s="13">
        <v>1.06</v>
      </c>
      <c r="Z394" s="13">
        <v>1.67</v>
      </c>
    </row>
    <row r="395" spans="1:26">
      <c r="M395" s="21" t="s">
        <v>67</v>
      </c>
      <c r="N395">
        <v>449</v>
      </c>
      <c r="O395">
        <v>124.937</v>
      </c>
      <c r="P395">
        <v>16.503</v>
      </c>
      <c r="Q395">
        <v>306.48500000000001</v>
      </c>
      <c r="R395">
        <v>4.3090000000000002</v>
      </c>
      <c r="S395">
        <v>56.155999999999999</v>
      </c>
      <c r="T395">
        <v>0</v>
      </c>
      <c r="U395">
        <v>2.5</v>
      </c>
      <c r="V395">
        <v>6</v>
      </c>
      <c r="W395">
        <v>15.3125</v>
      </c>
      <c r="X395">
        <v>125</v>
      </c>
      <c r="Y395">
        <v>0.83899999999999997</v>
      </c>
      <c r="Z395">
        <v>0</v>
      </c>
    </row>
    <row r="396" spans="1:26">
      <c r="M396" s="22" t="s">
        <v>68</v>
      </c>
      <c r="N396" s="13">
        <v>449</v>
      </c>
      <c r="O396" s="13">
        <v>124.937</v>
      </c>
      <c r="P396" s="13">
        <v>18.78</v>
      </c>
      <c r="Q396" s="13">
        <v>345.36099999999999</v>
      </c>
      <c r="R396" s="13">
        <v>4.2880000000000003</v>
      </c>
      <c r="S396" s="13">
        <v>63.902999999999999</v>
      </c>
      <c r="T396" s="13">
        <v>0</v>
      </c>
      <c r="U396" s="13">
        <v>2.5</v>
      </c>
      <c r="V396" s="13">
        <v>6</v>
      </c>
      <c r="W396" s="13">
        <v>15.3125</v>
      </c>
      <c r="X396" s="13">
        <v>125</v>
      </c>
      <c r="Y396" s="13">
        <v>0.83899999999999997</v>
      </c>
      <c r="Z396" s="13">
        <v>0</v>
      </c>
    </row>
    <row r="397" spans="1:26">
      <c r="M397" s="22" t="s">
        <v>69</v>
      </c>
      <c r="N397" s="14">
        <v>449</v>
      </c>
      <c r="O397" s="14">
        <v>194.51900000000001</v>
      </c>
      <c r="P397" s="14">
        <v>25.079000000000001</v>
      </c>
      <c r="Q397" s="14">
        <v>726.36</v>
      </c>
      <c r="R397" s="14">
        <v>5.3819999999999997</v>
      </c>
      <c r="S397" s="14">
        <v>85.337000000000003</v>
      </c>
      <c r="T397" s="14">
        <v>0</v>
      </c>
      <c r="U397" s="14">
        <v>6</v>
      </c>
      <c r="V397" s="14">
        <v>6</v>
      </c>
      <c r="W397" s="14">
        <v>15.375</v>
      </c>
      <c r="X397" s="14">
        <v>192</v>
      </c>
      <c r="Y397" s="14">
        <v>0.54300000000000004</v>
      </c>
      <c r="Z397" s="14">
        <v>0</v>
      </c>
    </row>
    <row r="400" spans="1:26" ht="12.75">
      <c r="A400" s="3"/>
      <c r="B400" s="15"/>
      <c r="C400" s="16"/>
      <c r="D400" s="16"/>
      <c r="E400" s="16"/>
      <c r="F400" s="16"/>
      <c r="G400" s="20"/>
      <c r="H400" s="4" t="s">
        <v>1</v>
      </c>
      <c r="J400" s="4" t="s">
        <v>2</v>
      </c>
      <c r="M400" s="4" t="s">
        <v>3</v>
      </c>
    </row>
    <row r="401" spans="1:26" ht="12.75">
      <c r="A401" s="1"/>
      <c r="B401" s="1"/>
      <c r="C401" s="1"/>
      <c r="D401" s="1"/>
      <c r="E401" s="1"/>
      <c r="F401" s="1"/>
      <c r="G401" s="1"/>
      <c r="J401" s="5">
        <f>2.85*10^8</f>
        <v>285000000</v>
      </c>
      <c r="K401" s="4" t="s">
        <v>4</v>
      </c>
      <c r="N401" s="4" t="s">
        <v>5</v>
      </c>
      <c r="O401" s="6" t="s">
        <v>6</v>
      </c>
      <c r="P401" s="6" t="s">
        <v>7</v>
      </c>
      <c r="Q401" s="6" t="s">
        <v>8</v>
      </c>
      <c r="R401" s="6" t="s">
        <v>9</v>
      </c>
      <c r="S401" s="6" t="s">
        <v>10</v>
      </c>
      <c r="T401" s="6" t="s">
        <v>11</v>
      </c>
      <c r="U401" s="6" t="s">
        <v>11</v>
      </c>
      <c r="V401" s="6" t="s">
        <v>11</v>
      </c>
      <c r="W401" s="6" t="s">
        <v>11</v>
      </c>
      <c r="X401" s="6" t="s">
        <v>12</v>
      </c>
      <c r="Y401" s="520" t="s">
        <v>13</v>
      </c>
      <c r="Z401" s="520"/>
    </row>
    <row r="402" spans="1:26" ht="12.75">
      <c r="A402" s="1"/>
      <c r="B402" s="1"/>
      <c r="C402" s="1"/>
      <c r="D402" s="1"/>
      <c r="E402" s="1"/>
      <c r="F402" s="1"/>
      <c r="G402" s="1"/>
      <c r="J402">
        <f>VLOOKUP(A403,M400:Z430,4,FALSE)</f>
        <v>14.196</v>
      </c>
      <c r="K402" s="4" t="s">
        <v>14</v>
      </c>
      <c r="M402" s="4" t="s">
        <v>15</v>
      </c>
      <c r="N402" s="4" t="s">
        <v>16</v>
      </c>
      <c r="O402" s="6" t="s">
        <v>17</v>
      </c>
      <c r="P402" s="6" t="s">
        <v>17</v>
      </c>
      <c r="Q402" s="6" t="s">
        <v>18</v>
      </c>
      <c r="R402" s="6" t="s">
        <v>19</v>
      </c>
      <c r="S402" s="6" t="s">
        <v>20</v>
      </c>
      <c r="T402" s="6" t="s">
        <v>21</v>
      </c>
      <c r="U402" s="6" t="s">
        <v>22</v>
      </c>
      <c r="V402" s="6" t="s">
        <v>23</v>
      </c>
      <c r="W402" s="6" t="s">
        <v>24</v>
      </c>
      <c r="Y402" s="6" t="s">
        <v>25</v>
      </c>
      <c r="Z402" s="4" t="s">
        <v>26</v>
      </c>
    </row>
    <row r="403" spans="1:26" ht="12.75">
      <c r="A403" s="11" t="s">
        <v>55</v>
      </c>
      <c r="B403" s="3" t="s">
        <v>28</v>
      </c>
      <c r="C403" s="7"/>
      <c r="D403" s="7"/>
      <c r="E403" s="7"/>
      <c r="F403" s="7"/>
      <c r="G403" s="3" t="s">
        <v>1</v>
      </c>
      <c r="J403">
        <f>(A406)</f>
        <v>0</v>
      </c>
      <c r="K403" s="4" t="s">
        <v>29</v>
      </c>
      <c r="M403" s="21" t="s">
        <v>30</v>
      </c>
      <c r="N403">
        <v>492</v>
      </c>
      <c r="O403">
        <v>11.781000000000001</v>
      </c>
      <c r="P403">
        <v>2.8980000000000001</v>
      </c>
      <c r="Q403">
        <v>4.766</v>
      </c>
      <c r="R403">
        <v>1.282</v>
      </c>
      <c r="S403">
        <v>9.8620000000000001</v>
      </c>
      <c r="T403">
        <v>0</v>
      </c>
      <c r="U403">
        <v>3</v>
      </c>
      <c r="V403">
        <v>6.75</v>
      </c>
      <c r="W403">
        <v>9.375</v>
      </c>
      <c r="X403">
        <v>22</v>
      </c>
      <c r="Y403">
        <v>10.47</v>
      </c>
      <c r="Z403">
        <v>0</v>
      </c>
    </row>
    <row r="404" spans="1:26" ht="12.75">
      <c r="A404" s="319">
        <f>'Estimating Form'!$D$18/12+N956</f>
        <v>1.3333333333333333</v>
      </c>
      <c r="B404" s="3" t="s">
        <v>31</v>
      </c>
      <c r="C404" s="7"/>
      <c r="D404" s="7"/>
      <c r="E404" s="7"/>
      <c r="F404" s="7"/>
      <c r="G404" s="7"/>
      <c r="J404">
        <f>VLOOKUP(A403,M400:Z431,7,FALSE)</f>
        <v>48.304000000000002</v>
      </c>
      <c r="K404" s="4" t="s">
        <v>32</v>
      </c>
      <c r="M404" s="22" t="s">
        <v>33</v>
      </c>
      <c r="N404" s="13">
        <v>492</v>
      </c>
      <c r="O404" s="13">
        <v>11.781000000000001</v>
      </c>
      <c r="P404" s="13">
        <v>5.94</v>
      </c>
      <c r="Q404" s="13">
        <v>8.33</v>
      </c>
      <c r="R404" s="13">
        <v>1.1839999999999999</v>
      </c>
      <c r="S404" s="13">
        <v>20.213999999999999</v>
      </c>
      <c r="T404" s="13">
        <v>0</v>
      </c>
      <c r="U404" s="13">
        <v>3</v>
      </c>
      <c r="V404" s="13">
        <v>6.75</v>
      </c>
      <c r="W404" s="13">
        <v>9.375</v>
      </c>
      <c r="X404" s="13">
        <v>22</v>
      </c>
      <c r="Y404" s="13">
        <v>10.47</v>
      </c>
      <c r="Z404" s="13">
        <v>0</v>
      </c>
    </row>
    <row r="405" spans="1:26" ht="12.75">
      <c r="A405" s="11">
        <v>0</v>
      </c>
      <c r="B405" s="3" t="s">
        <v>34</v>
      </c>
      <c r="C405" s="7"/>
      <c r="D405" s="7"/>
      <c r="E405" s="7"/>
      <c r="F405" s="7"/>
      <c r="G405" s="7"/>
      <c r="J405">
        <f>VLOOKUP(A403,M400:Z430,6,FALSE)</f>
        <v>2.032</v>
      </c>
      <c r="K405" s="4" t="s">
        <v>35</v>
      </c>
      <c r="M405" s="21" t="s">
        <v>36</v>
      </c>
      <c r="N405">
        <v>594</v>
      </c>
      <c r="O405">
        <v>14.93</v>
      </c>
      <c r="P405">
        <v>3.3490000000000002</v>
      </c>
      <c r="Q405">
        <v>7.0650000000000004</v>
      </c>
      <c r="R405">
        <v>1.452</v>
      </c>
      <c r="S405">
        <v>11.396000000000001</v>
      </c>
      <c r="T405">
        <v>9.3125</v>
      </c>
      <c r="U405">
        <v>3</v>
      </c>
      <c r="V405">
        <v>5.5</v>
      </c>
      <c r="W405">
        <v>8.8125</v>
      </c>
      <c r="X405">
        <v>29</v>
      </c>
      <c r="Y405">
        <v>9.52</v>
      </c>
      <c r="Z405">
        <v>16.670000000000002</v>
      </c>
    </row>
    <row r="406" spans="1:26" ht="12.75">
      <c r="A406" s="11">
        <f>'Estimating Form'!$G$22</f>
        <v>0</v>
      </c>
      <c r="B406" s="3" t="s">
        <v>37</v>
      </c>
      <c r="C406" s="7"/>
      <c r="D406" s="7"/>
      <c r="E406" s="7"/>
      <c r="F406" s="7"/>
      <c r="G406" s="7"/>
      <c r="J406">
        <f>(A404*12+A405)</f>
        <v>16</v>
      </c>
      <c r="K406" s="4" t="s">
        <v>38</v>
      </c>
      <c r="M406" s="21" t="s">
        <v>39</v>
      </c>
      <c r="N406">
        <v>594</v>
      </c>
      <c r="O406">
        <v>14.93</v>
      </c>
      <c r="P406">
        <v>5.5170000000000003</v>
      </c>
      <c r="Q406">
        <v>10.686999999999999</v>
      </c>
      <c r="R406">
        <v>1.3919999999999999</v>
      </c>
      <c r="S406">
        <v>18.771999999999998</v>
      </c>
      <c r="T406">
        <v>9.3125</v>
      </c>
      <c r="U406">
        <v>3</v>
      </c>
      <c r="V406">
        <v>5.5</v>
      </c>
      <c r="W406">
        <v>8.8125</v>
      </c>
      <c r="X406">
        <v>29</v>
      </c>
      <c r="Y406">
        <v>9.52</v>
      </c>
      <c r="Z406">
        <v>16.670000000000002</v>
      </c>
    </row>
    <row r="407" spans="1:26" ht="12.75">
      <c r="A407" s="11">
        <f>'Estimating Form'!$D$20</f>
        <v>0</v>
      </c>
      <c r="B407" s="3" t="s">
        <v>40</v>
      </c>
      <c r="C407" s="7"/>
      <c r="D407" s="7"/>
      <c r="E407" s="7"/>
      <c r="F407" s="7"/>
      <c r="G407" s="7"/>
      <c r="J407">
        <f>(A404+A405/12)</f>
        <v>1.3333333333333333</v>
      </c>
      <c r="K407" s="4" t="s">
        <v>41</v>
      </c>
      <c r="M407" s="22" t="s">
        <v>42</v>
      </c>
      <c r="N407" s="13">
        <v>594</v>
      </c>
      <c r="O407" s="13">
        <v>14.93</v>
      </c>
      <c r="P407" s="13">
        <v>7.1269999999999998</v>
      </c>
      <c r="Q407" s="13">
        <v>12.893000000000001</v>
      </c>
      <c r="R407" s="13">
        <v>1.345</v>
      </c>
      <c r="S407" s="13">
        <v>24.251999999999999</v>
      </c>
      <c r="T407" s="13">
        <v>9.3125</v>
      </c>
      <c r="U407" s="13">
        <v>3</v>
      </c>
      <c r="V407" s="13">
        <v>5.5</v>
      </c>
      <c r="W407" s="13">
        <v>8.8125</v>
      </c>
      <c r="X407" s="13">
        <v>29</v>
      </c>
      <c r="Y407" s="13">
        <v>9.52</v>
      </c>
      <c r="Z407" s="13">
        <v>16.670000000000002</v>
      </c>
    </row>
    <row r="408" spans="1:26" ht="12.75">
      <c r="A408" s="11">
        <v>0</v>
      </c>
      <c r="B408" s="3" t="s">
        <v>43</v>
      </c>
      <c r="C408" s="7"/>
      <c r="D408" s="7"/>
      <c r="E408" s="7"/>
      <c r="F408" s="7"/>
      <c r="G408" s="7"/>
      <c r="M408" s="21" t="s">
        <v>44</v>
      </c>
      <c r="N408">
        <v>630</v>
      </c>
      <c r="O408">
        <v>23.114999999999998</v>
      </c>
      <c r="P408">
        <v>4.8</v>
      </c>
      <c r="Q408">
        <v>15.824999999999999</v>
      </c>
      <c r="R408">
        <v>1.8160000000000001</v>
      </c>
      <c r="S408">
        <v>16.332999999999998</v>
      </c>
      <c r="T408">
        <v>9.75</v>
      </c>
      <c r="U408">
        <v>3</v>
      </c>
      <c r="V408">
        <v>5.5</v>
      </c>
      <c r="W408">
        <v>9.1875</v>
      </c>
      <c r="X408">
        <v>43</v>
      </c>
      <c r="Y408">
        <v>6.95</v>
      </c>
      <c r="Z408">
        <v>10.9</v>
      </c>
    </row>
    <row r="409" spans="1:26" ht="12.75">
      <c r="A409" s="7"/>
      <c r="B409" s="7"/>
      <c r="C409" s="7"/>
      <c r="D409" s="7"/>
      <c r="E409" s="7"/>
      <c r="F409" s="7"/>
      <c r="G409" s="7"/>
      <c r="J409">
        <f>(J401*J402/(J403+(J404*J407/2)))*(J405/J406)^2</f>
        <v>2026405.9686568403</v>
      </c>
      <c r="M409" s="21" t="s">
        <v>45</v>
      </c>
      <c r="N409">
        <v>630</v>
      </c>
      <c r="O409">
        <v>23.114999999999998</v>
      </c>
      <c r="P409">
        <v>6.59</v>
      </c>
      <c r="Q409">
        <v>20.786000000000001</v>
      </c>
      <c r="R409">
        <v>1.776</v>
      </c>
      <c r="S409">
        <v>22.422000000000001</v>
      </c>
      <c r="T409">
        <v>9.75</v>
      </c>
      <c r="U409">
        <v>3</v>
      </c>
      <c r="V409">
        <v>5.5</v>
      </c>
      <c r="W409">
        <v>9.1875</v>
      </c>
      <c r="X409">
        <v>43</v>
      </c>
      <c r="Y409">
        <v>6.95</v>
      </c>
      <c r="Z409">
        <v>10.9</v>
      </c>
    </row>
    <row r="410" spans="1:26" ht="12.75">
      <c r="A410" s="12">
        <f>(J409)</f>
        <v>2026405.9686568403</v>
      </c>
      <c r="B410" s="3" t="s">
        <v>46</v>
      </c>
      <c r="C410" s="7"/>
      <c r="D410" s="7"/>
      <c r="E410" s="7"/>
      <c r="F410" s="7"/>
      <c r="G410" s="7"/>
      <c r="M410" s="21" t="s">
        <v>47</v>
      </c>
      <c r="N410">
        <v>630</v>
      </c>
      <c r="O410">
        <v>23.114999999999998</v>
      </c>
      <c r="P410">
        <v>8.5050000000000008</v>
      </c>
      <c r="Q410">
        <v>25.532</v>
      </c>
      <c r="R410">
        <v>1.7330000000000001</v>
      </c>
      <c r="S410">
        <v>28.94</v>
      </c>
      <c r="T410">
        <v>9.75</v>
      </c>
      <c r="U410">
        <v>3</v>
      </c>
      <c r="V410">
        <v>5.5</v>
      </c>
      <c r="W410">
        <v>9.1875</v>
      </c>
      <c r="X410">
        <v>43</v>
      </c>
      <c r="Y410">
        <v>6.95</v>
      </c>
      <c r="Z410">
        <v>10.9</v>
      </c>
    </row>
    <row r="411" spans="1:26" ht="12.75">
      <c r="A411" s="12">
        <f>(J415)</f>
        <v>0</v>
      </c>
      <c r="B411" s="3" t="s">
        <v>48</v>
      </c>
      <c r="C411" s="7"/>
      <c r="D411" s="7"/>
      <c r="E411" s="7"/>
      <c r="F411" s="7"/>
      <c r="G411" s="7"/>
      <c r="J411" s="4" t="s">
        <v>49</v>
      </c>
      <c r="M411" s="22" t="s">
        <v>50</v>
      </c>
      <c r="N411" s="13">
        <v>234</v>
      </c>
      <c r="O411" s="13">
        <v>23.114999999999998</v>
      </c>
      <c r="P411" s="13">
        <v>10.148999999999999</v>
      </c>
      <c r="Q411" s="13">
        <v>29.140999999999998</v>
      </c>
      <c r="R411" s="13">
        <v>1.694</v>
      </c>
      <c r="S411" s="13">
        <v>34.436</v>
      </c>
      <c r="T411" s="13">
        <v>9.75</v>
      </c>
      <c r="U411" s="13">
        <v>3</v>
      </c>
      <c r="V411" s="13">
        <v>5.5</v>
      </c>
      <c r="W411" s="13">
        <v>9.1875</v>
      </c>
      <c r="X411" s="13">
        <v>43</v>
      </c>
      <c r="Y411" s="13">
        <v>6.95</v>
      </c>
      <c r="Z411" s="13">
        <v>10.9</v>
      </c>
    </row>
    <row r="412" spans="1:26" ht="12.75">
      <c r="A412" s="11">
        <f>'Estimating Form'!$D$18/12+N957</f>
        <v>1.7708333333333333</v>
      </c>
      <c r="B412" s="3" t="s">
        <v>957</v>
      </c>
      <c r="J412">
        <f>VLOOKUP(A403,M400:Z430,IF(A408=1,13,12)+1,FALSE)</f>
        <v>3.41</v>
      </c>
      <c r="K412" s="4" t="s">
        <v>51</v>
      </c>
      <c r="M412" s="21" t="s">
        <v>27</v>
      </c>
      <c r="N412">
        <v>630</v>
      </c>
      <c r="O412">
        <v>33.03</v>
      </c>
      <c r="P412">
        <v>5.9219999999999997</v>
      </c>
      <c r="Q412">
        <v>28.338999999999999</v>
      </c>
      <c r="R412">
        <v>2.1880000000000002</v>
      </c>
      <c r="S412">
        <v>20.149999999999999</v>
      </c>
      <c r="T412">
        <v>9.75</v>
      </c>
      <c r="U412">
        <v>3</v>
      </c>
      <c r="V412">
        <v>5.5</v>
      </c>
      <c r="W412">
        <v>9.1875</v>
      </c>
      <c r="X412">
        <v>43</v>
      </c>
      <c r="Y412">
        <v>3.41</v>
      </c>
      <c r="Z412">
        <v>5.34</v>
      </c>
    </row>
    <row r="413" spans="1:26">
      <c r="A413" s="8"/>
      <c r="B413" s="4"/>
      <c r="J413">
        <f>(A407)</f>
        <v>0</v>
      </c>
      <c r="K413" s="4" t="s">
        <v>52</v>
      </c>
      <c r="M413" s="21" t="s">
        <v>53</v>
      </c>
      <c r="N413">
        <v>630</v>
      </c>
      <c r="O413">
        <v>33.03</v>
      </c>
      <c r="P413">
        <v>9.2799999999999994</v>
      </c>
      <c r="Q413">
        <v>41.933</v>
      </c>
      <c r="R413">
        <v>2.1259999999999999</v>
      </c>
      <c r="S413">
        <v>31.579000000000001</v>
      </c>
      <c r="T413">
        <v>9.75</v>
      </c>
      <c r="U413">
        <v>3</v>
      </c>
      <c r="V413">
        <v>5.5</v>
      </c>
      <c r="W413">
        <v>9.1875</v>
      </c>
      <c r="X413">
        <v>43</v>
      </c>
      <c r="Y413">
        <v>3.41</v>
      </c>
      <c r="Z413">
        <v>5.34</v>
      </c>
    </row>
    <row r="414" spans="1:26">
      <c r="A414" s="8"/>
      <c r="B414" s="9"/>
      <c r="M414" s="21" t="s">
        <v>54</v>
      </c>
      <c r="N414">
        <v>630</v>
      </c>
      <c r="O414">
        <v>33.03</v>
      </c>
      <c r="P414">
        <v>11.898999999999999</v>
      </c>
      <c r="Q414">
        <v>51.284999999999997</v>
      </c>
      <c r="R414">
        <v>2.0760000000000001</v>
      </c>
      <c r="S414">
        <v>40.488999999999997</v>
      </c>
      <c r="T414">
        <v>9.75</v>
      </c>
      <c r="U414">
        <v>3</v>
      </c>
      <c r="V414">
        <v>5.5</v>
      </c>
      <c r="W414">
        <v>9.1875</v>
      </c>
      <c r="X414">
        <v>43</v>
      </c>
      <c r="Y414">
        <v>3.41</v>
      </c>
      <c r="Z414">
        <v>5.34</v>
      </c>
    </row>
    <row r="415" spans="1:26">
      <c r="A415" s="8"/>
      <c r="B415" s="9"/>
      <c r="J415">
        <f>(J412*(J407+4)*J413*10^-6)</f>
        <v>0</v>
      </c>
      <c r="M415" s="22" t="s">
        <v>55</v>
      </c>
      <c r="N415" s="13">
        <v>630</v>
      </c>
      <c r="O415" s="13">
        <v>33.03</v>
      </c>
      <c r="P415" s="13">
        <v>14.196</v>
      </c>
      <c r="Q415" s="13">
        <v>58.588999999999999</v>
      </c>
      <c r="R415" s="13">
        <v>2.032</v>
      </c>
      <c r="S415" s="13">
        <v>48.304000000000002</v>
      </c>
      <c r="T415" s="13">
        <v>9.75</v>
      </c>
      <c r="U415" s="13">
        <v>3</v>
      </c>
      <c r="V415" s="13">
        <v>5.5</v>
      </c>
      <c r="W415" s="13">
        <v>9.1875</v>
      </c>
      <c r="X415" s="13">
        <v>43</v>
      </c>
      <c r="Y415" s="13">
        <v>3.41</v>
      </c>
      <c r="Z415" s="13">
        <v>5.34</v>
      </c>
    </row>
    <row r="416" spans="1:26">
      <c r="A416" s="8"/>
      <c r="M416" s="21" t="s">
        <v>56</v>
      </c>
      <c r="N416">
        <v>630</v>
      </c>
      <c r="O416">
        <v>44.031999999999996</v>
      </c>
      <c r="P416">
        <v>8.109</v>
      </c>
      <c r="Q416">
        <v>51.593000000000004</v>
      </c>
      <c r="R416">
        <v>2.5219999999999998</v>
      </c>
      <c r="S416">
        <v>27.591999999999999</v>
      </c>
      <c r="T416">
        <v>10.9375</v>
      </c>
      <c r="U416">
        <v>2.5</v>
      </c>
      <c r="V416">
        <v>6</v>
      </c>
      <c r="W416">
        <v>9.9375</v>
      </c>
      <c r="X416">
        <v>61</v>
      </c>
      <c r="Y416">
        <v>3</v>
      </c>
      <c r="Z416">
        <v>4.29</v>
      </c>
    </row>
    <row r="417" spans="1:26">
      <c r="A417" s="8"/>
      <c r="B417" s="9"/>
      <c r="M417" s="21" t="s">
        <v>57</v>
      </c>
      <c r="N417">
        <v>630</v>
      </c>
      <c r="O417">
        <v>44.031999999999996</v>
      </c>
      <c r="P417">
        <v>9.4350000000000005</v>
      </c>
      <c r="Q417">
        <v>59.033999999999999</v>
      </c>
      <c r="R417">
        <v>2.5009999999999999</v>
      </c>
      <c r="S417">
        <v>32.103999999999999</v>
      </c>
      <c r="T417">
        <v>10.9375</v>
      </c>
      <c r="U417">
        <v>2.5</v>
      </c>
      <c r="V417">
        <v>6</v>
      </c>
      <c r="W417">
        <v>9.9375</v>
      </c>
      <c r="X417">
        <v>61</v>
      </c>
      <c r="Y417">
        <v>3</v>
      </c>
      <c r="Z417">
        <v>4.29</v>
      </c>
    </row>
    <row r="418" spans="1:26" ht="15.75">
      <c r="A418" s="37"/>
      <c r="B418" s="97"/>
      <c r="C418" s="515" t="s">
        <v>93</v>
      </c>
      <c r="D418" s="515"/>
      <c r="E418" s="40">
        <f>(B419-A407)/(O415)-(0.39*A404)</f>
        <v>0.56373069936421416</v>
      </c>
      <c r="M418" s="23" t="s">
        <v>59</v>
      </c>
      <c r="N418">
        <v>630</v>
      </c>
      <c r="O418">
        <v>44.031999999999996</v>
      </c>
      <c r="P418">
        <v>14.49</v>
      </c>
      <c r="Q418">
        <v>84.834000000000003</v>
      </c>
      <c r="R418">
        <v>2.42</v>
      </c>
      <c r="S418">
        <v>49.305</v>
      </c>
      <c r="T418">
        <v>10.9375</v>
      </c>
      <c r="U418">
        <v>2.5</v>
      </c>
      <c r="V418">
        <v>6</v>
      </c>
      <c r="W418">
        <v>9.9375</v>
      </c>
      <c r="X418">
        <v>61</v>
      </c>
      <c r="Y418">
        <v>3</v>
      </c>
      <c r="Z418">
        <v>4.29</v>
      </c>
    </row>
    <row r="419" spans="1:26" ht="15.75">
      <c r="A419" s="37" t="s">
        <v>98</v>
      </c>
      <c r="B419" s="41">
        <f>A406+B423</f>
        <v>35.795624999999994</v>
      </c>
      <c r="C419" s="516" t="s">
        <v>99</v>
      </c>
      <c r="D419" s="516"/>
      <c r="E419" s="42">
        <f>((B419/(O415))*1.1)</f>
        <v>1.1921037693006358</v>
      </c>
      <c r="M419" s="24" t="s">
        <v>58</v>
      </c>
      <c r="N419" s="13">
        <v>630</v>
      </c>
      <c r="O419" s="13">
        <v>44.031999999999996</v>
      </c>
      <c r="P419" s="13">
        <v>19.181000000000001</v>
      </c>
      <c r="Q419" s="13">
        <v>105.14</v>
      </c>
      <c r="R419" s="13">
        <v>2.3410000000000002</v>
      </c>
      <c r="S419" s="13">
        <v>65.268000000000001</v>
      </c>
      <c r="T419" s="13">
        <v>10.9375</v>
      </c>
      <c r="U419" s="13">
        <v>2.5</v>
      </c>
      <c r="V419" s="13">
        <v>6</v>
      </c>
      <c r="W419" s="13">
        <v>9.9375</v>
      </c>
      <c r="X419" s="13">
        <v>61</v>
      </c>
      <c r="Y419" s="13">
        <v>3</v>
      </c>
      <c r="Z419" s="13">
        <v>4.29</v>
      </c>
    </row>
    <row r="420" spans="1:26" ht="15">
      <c r="A420" s="37"/>
      <c r="B420" s="38"/>
      <c r="C420" s="517" t="s">
        <v>106</v>
      </c>
      <c r="D420" s="514" t="str">
        <f>IF(E418&gt;90,"Good!","Too Low, increase GLOPU or decrease jack diameter, if above 50 use ASK ENGINEERING")</f>
        <v>Too Low, increase GLOPU or decrease jack diameter, if above 50 use ASK ENGINEERING</v>
      </c>
      <c r="E420" s="514"/>
      <c r="F420" s="10"/>
      <c r="M420" s="21" t="s">
        <v>60</v>
      </c>
      <c r="N420">
        <v>630</v>
      </c>
      <c r="O420">
        <v>56.578000000000003</v>
      </c>
      <c r="P420">
        <v>9.2829999999999995</v>
      </c>
      <c r="Q420">
        <v>76.736999999999995</v>
      </c>
      <c r="R420">
        <v>2.875</v>
      </c>
      <c r="S420">
        <v>31.588999999999999</v>
      </c>
      <c r="T420">
        <v>10.9375</v>
      </c>
      <c r="U420">
        <v>2.5</v>
      </c>
      <c r="V420">
        <v>6</v>
      </c>
      <c r="W420">
        <v>9.9375</v>
      </c>
      <c r="X420">
        <v>61</v>
      </c>
      <c r="Y420">
        <v>1.82</v>
      </c>
      <c r="Z420">
        <v>2.6</v>
      </c>
    </row>
    <row r="421" spans="1:26" ht="15.75" thickBot="1">
      <c r="A421" s="37"/>
      <c r="B421" s="44"/>
      <c r="C421" s="518"/>
      <c r="D421" s="519"/>
      <c r="E421" s="519"/>
      <c r="M421" s="21" t="s">
        <v>61</v>
      </c>
      <c r="N421">
        <v>630</v>
      </c>
      <c r="O421">
        <v>56.578000000000003</v>
      </c>
      <c r="P421">
        <v>10.734999999999999</v>
      </c>
      <c r="Q421">
        <v>87.494</v>
      </c>
      <c r="R421">
        <v>2.855</v>
      </c>
      <c r="S421">
        <v>36.527999999999999</v>
      </c>
      <c r="T421">
        <v>10.9375</v>
      </c>
      <c r="U421">
        <v>2.5</v>
      </c>
      <c r="V421">
        <v>6</v>
      </c>
      <c r="W421">
        <v>9.9375</v>
      </c>
      <c r="X421">
        <v>61</v>
      </c>
      <c r="Y421">
        <v>1.82</v>
      </c>
      <c r="Z421">
        <v>2.6</v>
      </c>
    </row>
    <row r="422" spans="1:26" ht="15">
      <c r="A422" s="37"/>
      <c r="B422" s="39"/>
      <c r="C422" s="512" t="s">
        <v>118</v>
      </c>
      <c r="D422" s="514" t="str">
        <f>IF(E419&gt;500,"Too High, reduce GLOPU or increase plunger diameter","Good!")</f>
        <v>Good!</v>
      </c>
      <c r="E422" s="514"/>
      <c r="M422" s="24" t="s">
        <v>70</v>
      </c>
      <c r="N422" s="13">
        <v>630</v>
      </c>
      <c r="O422" s="13">
        <v>56.578000000000003</v>
      </c>
      <c r="P422" s="13">
        <v>15.885999999999999</v>
      </c>
      <c r="Q422" s="13">
        <v>122.965</v>
      </c>
      <c r="R422" s="13">
        <v>2.782</v>
      </c>
      <c r="S422" s="13">
        <v>54.055</v>
      </c>
      <c r="T422" s="13">
        <v>10.9375</v>
      </c>
      <c r="U422" s="13">
        <v>2.5</v>
      </c>
      <c r="V422" s="13">
        <v>6</v>
      </c>
      <c r="W422" s="13">
        <v>9.9375</v>
      </c>
      <c r="X422" s="13">
        <v>61</v>
      </c>
      <c r="Y422" s="13">
        <v>1.82</v>
      </c>
      <c r="Z422" s="13">
        <v>2.6</v>
      </c>
    </row>
    <row r="423" spans="1:26" ht="15">
      <c r="A423" s="46" t="s">
        <v>122</v>
      </c>
      <c r="B423" s="96">
        <f>S404*A412</f>
        <v>35.795624999999994</v>
      </c>
      <c r="C423" s="513"/>
      <c r="D423" s="514"/>
      <c r="E423" s="514"/>
      <c r="M423" s="21" t="s">
        <v>62</v>
      </c>
      <c r="N423">
        <v>537</v>
      </c>
      <c r="O423">
        <v>70.695999999999998</v>
      </c>
      <c r="P423">
        <v>12.27</v>
      </c>
      <c r="Q423">
        <v>126.072</v>
      </c>
      <c r="R423">
        <v>3.2050000000000001</v>
      </c>
      <c r="S423">
        <v>41.75</v>
      </c>
      <c r="T423">
        <v>14.375</v>
      </c>
      <c r="U423">
        <v>2.5</v>
      </c>
      <c r="V423">
        <v>6</v>
      </c>
      <c r="W423">
        <v>12.9375</v>
      </c>
      <c r="X423">
        <v>80</v>
      </c>
      <c r="Y423">
        <v>1.66</v>
      </c>
      <c r="Z423">
        <v>2.62</v>
      </c>
    </row>
    <row r="424" spans="1:26">
      <c r="E424" s="10"/>
      <c r="F424" s="10"/>
      <c r="M424" s="22" t="s">
        <v>63</v>
      </c>
      <c r="N424" s="13">
        <v>537</v>
      </c>
      <c r="O424" s="13">
        <v>70.695999999999998</v>
      </c>
      <c r="P424" s="13">
        <v>18.847000000000001</v>
      </c>
      <c r="Q424" s="13">
        <v>183.79400000000001</v>
      </c>
      <c r="R424" s="13">
        <v>3.1230000000000002</v>
      </c>
      <c r="S424" s="13">
        <v>64.132000000000005</v>
      </c>
      <c r="T424" s="13">
        <v>14.375</v>
      </c>
      <c r="U424" s="13">
        <v>2.5</v>
      </c>
      <c r="V424" s="13">
        <v>6</v>
      </c>
      <c r="W424" s="13">
        <v>12.9375</v>
      </c>
      <c r="X424" s="13">
        <v>80</v>
      </c>
      <c r="Y424" s="13">
        <v>1.66</v>
      </c>
      <c r="Z424" s="13">
        <v>2.62</v>
      </c>
    </row>
    <row r="425" spans="1:26">
      <c r="A425" s="8"/>
      <c r="B425" s="9"/>
      <c r="M425" s="21" t="s">
        <v>64</v>
      </c>
      <c r="N425">
        <v>537</v>
      </c>
      <c r="O425">
        <v>88.456000000000003</v>
      </c>
      <c r="P425">
        <v>13.656000000000001</v>
      </c>
      <c r="Q425">
        <v>177.40799999999999</v>
      </c>
      <c r="R425">
        <v>3.6040000000000001</v>
      </c>
      <c r="S425">
        <v>46.466999999999999</v>
      </c>
      <c r="T425">
        <v>14.375</v>
      </c>
      <c r="U425">
        <v>2.5</v>
      </c>
      <c r="V425">
        <v>6</v>
      </c>
      <c r="W425">
        <v>13.3125</v>
      </c>
      <c r="X425">
        <v>80</v>
      </c>
      <c r="Y425">
        <v>1.06</v>
      </c>
      <c r="Z425">
        <v>1.67</v>
      </c>
    </row>
    <row r="426" spans="1:26">
      <c r="B426" s="9"/>
      <c r="M426" s="21" t="s">
        <v>65</v>
      </c>
      <c r="N426">
        <v>537</v>
      </c>
      <c r="O426">
        <v>88.456000000000003</v>
      </c>
      <c r="P426">
        <v>16.48</v>
      </c>
      <c r="Q426">
        <v>210.39400000000001</v>
      </c>
      <c r="R426">
        <v>3.573</v>
      </c>
      <c r="S426">
        <v>56.076999999999998</v>
      </c>
      <c r="T426">
        <v>14.375</v>
      </c>
      <c r="U426">
        <v>2.5</v>
      </c>
      <c r="V426">
        <v>6</v>
      </c>
      <c r="W426">
        <v>13.3125</v>
      </c>
      <c r="X426">
        <v>80</v>
      </c>
      <c r="Y426">
        <v>1.06</v>
      </c>
      <c r="Z426">
        <v>1.67</v>
      </c>
    </row>
    <row r="427" spans="1:26">
      <c r="B427" s="9"/>
      <c r="M427" s="22" t="s">
        <v>66</v>
      </c>
      <c r="N427" s="13">
        <v>537</v>
      </c>
      <c r="O427" s="13">
        <v>88.456000000000003</v>
      </c>
      <c r="P427" s="13">
        <v>20.350999999999999</v>
      </c>
      <c r="Q427" s="13">
        <v>253.547</v>
      </c>
      <c r="R427" s="13">
        <v>3.53</v>
      </c>
      <c r="S427" s="13">
        <v>69.248999999999995</v>
      </c>
      <c r="T427" s="13">
        <v>14.375</v>
      </c>
      <c r="U427" s="13">
        <v>2.5</v>
      </c>
      <c r="V427" s="13">
        <v>6</v>
      </c>
      <c r="W427" s="13">
        <v>13.3125</v>
      </c>
      <c r="X427" s="13">
        <v>80</v>
      </c>
      <c r="Y427" s="13">
        <v>1.06</v>
      </c>
      <c r="Z427" s="13">
        <v>1.67</v>
      </c>
    </row>
    <row r="428" spans="1:26">
      <c r="M428" s="21" t="s">
        <v>67</v>
      </c>
      <c r="N428">
        <v>449</v>
      </c>
      <c r="O428">
        <v>124.937</v>
      </c>
      <c r="P428">
        <v>16.503</v>
      </c>
      <c r="Q428">
        <v>306.48500000000001</v>
      </c>
      <c r="R428">
        <v>4.3090000000000002</v>
      </c>
      <c r="S428">
        <v>56.155999999999999</v>
      </c>
      <c r="T428">
        <v>0</v>
      </c>
      <c r="U428">
        <v>2.5</v>
      </c>
      <c r="V428">
        <v>6</v>
      </c>
      <c r="W428">
        <v>15.3125</v>
      </c>
      <c r="X428">
        <v>125</v>
      </c>
      <c r="Y428">
        <v>0.83899999999999997</v>
      </c>
      <c r="Z428">
        <v>0</v>
      </c>
    </row>
    <row r="429" spans="1:26">
      <c r="M429" s="22" t="s">
        <v>68</v>
      </c>
      <c r="N429" s="13">
        <v>449</v>
      </c>
      <c r="O429" s="13">
        <v>124.937</v>
      </c>
      <c r="P429" s="13">
        <v>18.78</v>
      </c>
      <c r="Q429" s="13">
        <v>345.36099999999999</v>
      </c>
      <c r="R429" s="13">
        <v>4.2880000000000003</v>
      </c>
      <c r="S429" s="13">
        <v>63.902999999999999</v>
      </c>
      <c r="T429" s="13">
        <v>0</v>
      </c>
      <c r="U429" s="13">
        <v>2.5</v>
      </c>
      <c r="V429" s="13">
        <v>6</v>
      </c>
      <c r="W429" s="13">
        <v>15.3125</v>
      </c>
      <c r="X429" s="13">
        <v>125</v>
      </c>
      <c r="Y429" s="13">
        <v>0.83899999999999997</v>
      </c>
      <c r="Z429" s="13">
        <v>0</v>
      </c>
    </row>
    <row r="430" spans="1:26">
      <c r="M430" s="22" t="s">
        <v>69</v>
      </c>
      <c r="N430" s="14">
        <v>449</v>
      </c>
      <c r="O430" s="14">
        <v>194.51900000000001</v>
      </c>
      <c r="P430" s="14">
        <v>25.079000000000001</v>
      </c>
      <c r="Q430" s="14">
        <v>726.36</v>
      </c>
      <c r="R430" s="14">
        <v>5.3819999999999997</v>
      </c>
      <c r="S430" s="14">
        <v>85.337000000000003</v>
      </c>
      <c r="T430" s="14">
        <v>0</v>
      </c>
      <c r="U430" s="14">
        <v>6</v>
      </c>
      <c r="V430" s="14">
        <v>6</v>
      </c>
      <c r="W430" s="14">
        <v>15.375</v>
      </c>
      <c r="X430" s="14">
        <v>192</v>
      </c>
      <c r="Y430" s="14">
        <v>0.54300000000000004</v>
      </c>
      <c r="Z430" s="14">
        <v>0</v>
      </c>
    </row>
    <row r="433" spans="1:26" ht="12.75">
      <c r="A433" s="3"/>
      <c r="B433" s="15"/>
      <c r="C433" s="16"/>
      <c r="D433" s="16"/>
      <c r="E433" s="16"/>
      <c r="F433" s="16"/>
      <c r="G433" s="20"/>
      <c r="H433" s="4" t="s">
        <v>1</v>
      </c>
      <c r="J433" s="4" t="s">
        <v>2</v>
      </c>
      <c r="M433" s="4" t="s">
        <v>3</v>
      </c>
    </row>
    <row r="434" spans="1:26" ht="12.75">
      <c r="A434" s="1"/>
      <c r="B434" s="1"/>
      <c r="C434" s="1"/>
      <c r="D434" s="1"/>
      <c r="E434" s="1"/>
      <c r="F434" s="1"/>
      <c r="G434" s="1"/>
      <c r="J434" s="5">
        <f>2.85*10^8</f>
        <v>285000000</v>
      </c>
      <c r="K434" s="4" t="s">
        <v>4</v>
      </c>
      <c r="N434" s="4" t="s">
        <v>5</v>
      </c>
      <c r="O434" s="6" t="s">
        <v>6</v>
      </c>
      <c r="P434" s="6" t="s">
        <v>7</v>
      </c>
      <c r="Q434" s="6" t="s">
        <v>8</v>
      </c>
      <c r="R434" s="6" t="s">
        <v>9</v>
      </c>
      <c r="S434" s="6" t="s">
        <v>10</v>
      </c>
      <c r="T434" s="6" t="s">
        <v>11</v>
      </c>
      <c r="U434" s="6" t="s">
        <v>11</v>
      </c>
      <c r="V434" s="6" t="s">
        <v>11</v>
      </c>
      <c r="W434" s="6" t="s">
        <v>11</v>
      </c>
      <c r="X434" s="6" t="s">
        <v>12</v>
      </c>
      <c r="Y434" s="520" t="s">
        <v>13</v>
      </c>
      <c r="Z434" s="520"/>
    </row>
    <row r="435" spans="1:26" ht="12.75">
      <c r="A435" s="1"/>
      <c r="B435" s="1"/>
      <c r="C435" s="1"/>
      <c r="D435" s="1"/>
      <c r="E435" s="1"/>
      <c r="F435" s="1"/>
      <c r="G435" s="1"/>
      <c r="J435">
        <f>VLOOKUP(A436,M433:Z463,4,FALSE)</f>
        <v>8.109</v>
      </c>
      <c r="K435" s="4" t="s">
        <v>14</v>
      </c>
      <c r="M435" s="4" t="s">
        <v>15</v>
      </c>
      <c r="N435" s="4" t="s">
        <v>16</v>
      </c>
      <c r="O435" s="6" t="s">
        <v>17</v>
      </c>
      <c r="P435" s="6" t="s">
        <v>17</v>
      </c>
      <c r="Q435" s="6" t="s">
        <v>18</v>
      </c>
      <c r="R435" s="6" t="s">
        <v>19</v>
      </c>
      <c r="S435" s="6" t="s">
        <v>20</v>
      </c>
      <c r="T435" s="6" t="s">
        <v>21</v>
      </c>
      <c r="U435" s="6" t="s">
        <v>22</v>
      </c>
      <c r="V435" s="6" t="s">
        <v>23</v>
      </c>
      <c r="W435" s="6" t="s">
        <v>24</v>
      </c>
      <c r="Y435" s="6" t="s">
        <v>25</v>
      </c>
      <c r="Z435" s="4" t="s">
        <v>26</v>
      </c>
    </row>
    <row r="436" spans="1:26" ht="12.75">
      <c r="A436" s="11" t="s">
        <v>56</v>
      </c>
      <c r="B436" s="3" t="s">
        <v>28</v>
      </c>
      <c r="C436" s="7"/>
      <c r="D436" s="7"/>
      <c r="E436" s="7"/>
      <c r="F436" s="7"/>
      <c r="G436" s="3" t="s">
        <v>1</v>
      </c>
      <c r="J436">
        <f>(A439)</f>
        <v>0</v>
      </c>
      <c r="K436" s="4" t="s">
        <v>29</v>
      </c>
      <c r="M436" s="21" t="s">
        <v>30</v>
      </c>
      <c r="N436">
        <v>492</v>
      </c>
      <c r="O436">
        <v>11.781000000000001</v>
      </c>
      <c r="P436">
        <v>2.8980000000000001</v>
      </c>
      <c r="Q436">
        <v>4.766</v>
      </c>
      <c r="R436">
        <v>1.282</v>
      </c>
      <c r="S436">
        <v>9.8620000000000001</v>
      </c>
      <c r="T436">
        <v>0</v>
      </c>
      <c r="U436">
        <v>3</v>
      </c>
      <c r="V436">
        <v>6.75</v>
      </c>
      <c r="W436">
        <v>9.375</v>
      </c>
      <c r="X436">
        <v>22</v>
      </c>
      <c r="Y436">
        <v>10.47</v>
      </c>
      <c r="Z436">
        <v>0</v>
      </c>
    </row>
    <row r="437" spans="1:26" ht="12.75">
      <c r="A437" s="319">
        <f>'Estimating Form'!$D$18/12+O956</f>
        <v>1.3333333333333333</v>
      </c>
      <c r="B437" s="3" t="s">
        <v>31</v>
      </c>
      <c r="C437" s="7"/>
      <c r="D437" s="7"/>
      <c r="E437" s="7"/>
      <c r="F437" s="7"/>
      <c r="G437" s="7"/>
      <c r="J437">
        <f>VLOOKUP(A436,M433:Z464,7,FALSE)</f>
        <v>27.591999999999999</v>
      </c>
      <c r="K437" s="4" t="s">
        <v>32</v>
      </c>
      <c r="M437" s="22" t="s">
        <v>33</v>
      </c>
      <c r="N437" s="13">
        <v>492</v>
      </c>
      <c r="O437" s="13">
        <v>11.781000000000001</v>
      </c>
      <c r="P437" s="13">
        <v>5.94</v>
      </c>
      <c r="Q437" s="13">
        <v>8.33</v>
      </c>
      <c r="R437" s="13">
        <v>1.1839999999999999</v>
      </c>
      <c r="S437" s="13">
        <v>20.213999999999999</v>
      </c>
      <c r="T437" s="13">
        <v>0</v>
      </c>
      <c r="U437" s="13">
        <v>3</v>
      </c>
      <c r="V437" s="13">
        <v>6.75</v>
      </c>
      <c r="W437" s="13">
        <v>9.375</v>
      </c>
      <c r="X437" s="13">
        <v>22</v>
      </c>
      <c r="Y437" s="13">
        <v>10.47</v>
      </c>
      <c r="Z437" s="13">
        <v>0</v>
      </c>
    </row>
    <row r="438" spans="1:26" ht="12.75">
      <c r="A438" s="11">
        <v>0</v>
      </c>
      <c r="B438" s="3" t="s">
        <v>34</v>
      </c>
      <c r="C438" s="7"/>
      <c r="D438" s="7"/>
      <c r="E438" s="7"/>
      <c r="F438" s="7"/>
      <c r="G438" s="7"/>
      <c r="J438">
        <f>VLOOKUP(A436,M433:Z463,6,FALSE)</f>
        <v>2.5219999999999998</v>
      </c>
      <c r="K438" s="4" t="s">
        <v>35</v>
      </c>
      <c r="M438" s="21" t="s">
        <v>36</v>
      </c>
      <c r="N438">
        <v>594</v>
      </c>
      <c r="O438">
        <v>14.93</v>
      </c>
      <c r="P438">
        <v>3.3490000000000002</v>
      </c>
      <c r="Q438">
        <v>7.0650000000000004</v>
      </c>
      <c r="R438">
        <v>1.452</v>
      </c>
      <c r="S438">
        <v>11.396000000000001</v>
      </c>
      <c r="T438">
        <v>9.3125</v>
      </c>
      <c r="U438">
        <v>3</v>
      </c>
      <c r="V438">
        <v>5.5</v>
      </c>
      <c r="W438">
        <v>8.8125</v>
      </c>
      <c r="X438">
        <v>29</v>
      </c>
      <c r="Y438">
        <v>9.52</v>
      </c>
      <c r="Z438">
        <v>16.670000000000002</v>
      </c>
    </row>
    <row r="439" spans="1:26" ht="12.75">
      <c r="A439" s="11">
        <f>'Estimating Form'!$G$22</f>
        <v>0</v>
      </c>
      <c r="B439" s="3" t="s">
        <v>37</v>
      </c>
      <c r="C439" s="7"/>
      <c r="D439" s="7"/>
      <c r="E439" s="7"/>
      <c r="F439" s="7"/>
      <c r="G439" s="7"/>
      <c r="J439">
        <f>(A437*12+A438)</f>
        <v>16</v>
      </c>
      <c r="K439" s="4" t="s">
        <v>38</v>
      </c>
      <c r="M439" s="21" t="s">
        <v>39</v>
      </c>
      <c r="N439">
        <v>594</v>
      </c>
      <c r="O439">
        <v>14.93</v>
      </c>
      <c r="P439">
        <v>5.5170000000000003</v>
      </c>
      <c r="Q439">
        <v>10.686999999999999</v>
      </c>
      <c r="R439">
        <v>1.3919999999999999</v>
      </c>
      <c r="S439">
        <v>18.771999999999998</v>
      </c>
      <c r="T439">
        <v>9.3125</v>
      </c>
      <c r="U439">
        <v>3</v>
      </c>
      <c r="V439">
        <v>5.5</v>
      </c>
      <c r="W439">
        <v>8.8125</v>
      </c>
      <c r="X439">
        <v>29</v>
      </c>
      <c r="Y439">
        <v>9.52</v>
      </c>
      <c r="Z439">
        <v>16.670000000000002</v>
      </c>
    </row>
    <row r="440" spans="1:26" ht="12.75">
      <c r="A440" s="11">
        <f>'Estimating Form'!$D$20</f>
        <v>0</v>
      </c>
      <c r="B440" s="3" t="s">
        <v>40</v>
      </c>
      <c r="C440" s="7"/>
      <c r="D440" s="7"/>
      <c r="E440" s="7"/>
      <c r="F440" s="7"/>
      <c r="G440" s="7"/>
      <c r="J440">
        <f>(A437+A438/12)</f>
        <v>1.3333333333333333</v>
      </c>
      <c r="K440" s="4" t="s">
        <v>41</v>
      </c>
      <c r="M440" s="22" t="s">
        <v>42</v>
      </c>
      <c r="N440" s="13">
        <v>594</v>
      </c>
      <c r="O440" s="13">
        <v>14.93</v>
      </c>
      <c r="P440" s="13">
        <v>7.1269999999999998</v>
      </c>
      <c r="Q440" s="13">
        <v>12.893000000000001</v>
      </c>
      <c r="R440" s="13">
        <v>1.345</v>
      </c>
      <c r="S440" s="13">
        <v>24.251999999999999</v>
      </c>
      <c r="T440" s="13">
        <v>9.3125</v>
      </c>
      <c r="U440" s="13">
        <v>3</v>
      </c>
      <c r="V440" s="13">
        <v>5.5</v>
      </c>
      <c r="W440" s="13">
        <v>8.8125</v>
      </c>
      <c r="X440" s="13">
        <v>29</v>
      </c>
      <c r="Y440" s="13">
        <v>9.52</v>
      </c>
      <c r="Z440" s="13">
        <v>16.670000000000002</v>
      </c>
    </row>
    <row r="441" spans="1:26" ht="12.75">
      <c r="A441" s="11">
        <v>0</v>
      </c>
      <c r="B441" s="3" t="s">
        <v>43</v>
      </c>
      <c r="C441" s="7"/>
      <c r="D441" s="7"/>
      <c r="E441" s="7"/>
      <c r="F441" s="7"/>
      <c r="G441" s="7"/>
      <c r="M441" s="21" t="s">
        <v>44</v>
      </c>
      <c r="N441">
        <v>630</v>
      </c>
      <c r="O441">
        <v>23.114999999999998</v>
      </c>
      <c r="P441">
        <v>4.8</v>
      </c>
      <c r="Q441">
        <v>15.824999999999999</v>
      </c>
      <c r="R441">
        <v>1.8160000000000001</v>
      </c>
      <c r="S441">
        <v>16.332999999999998</v>
      </c>
      <c r="T441">
        <v>9.75</v>
      </c>
      <c r="U441">
        <v>3</v>
      </c>
      <c r="V441">
        <v>5.5</v>
      </c>
      <c r="W441">
        <v>9.1875</v>
      </c>
      <c r="X441">
        <v>43</v>
      </c>
      <c r="Y441">
        <v>6.95</v>
      </c>
      <c r="Z441">
        <v>10.9</v>
      </c>
    </row>
    <row r="442" spans="1:26" ht="12.75">
      <c r="A442" s="7"/>
      <c r="B442" s="7"/>
      <c r="C442" s="7"/>
      <c r="D442" s="7"/>
      <c r="E442" s="7"/>
      <c r="F442" s="7"/>
      <c r="G442" s="7"/>
      <c r="J442">
        <f>(J434*J435/(J436+(J437*J440/2)))*(J438/J439)^2</f>
        <v>3121551.0175602864</v>
      </c>
      <c r="M442" s="21" t="s">
        <v>45</v>
      </c>
      <c r="N442">
        <v>630</v>
      </c>
      <c r="O442">
        <v>23.114999999999998</v>
      </c>
      <c r="P442">
        <v>6.59</v>
      </c>
      <c r="Q442">
        <v>20.786000000000001</v>
      </c>
      <c r="R442">
        <v>1.776</v>
      </c>
      <c r="S442">
        <v>22.422000000000001</v>
      </c>
      <c r="T442">
        <v>9.75</v>
      </c>
      <c r="U442">
        <v>3</v>
      </c>
      <c r="V442">
        <v>5.5</v>
      </c>
      <c r="W442">
        <v>9.1875</v>
      </c>
      <c r="X442">
        <v>43</v>
      </c>
      <c r="Y442">
        <v>6.95</v>
      </c>
      <c r="Z442">
        <v>10.9</v>
      </c>
    </row>
    <row r="443" spans="1:26" ht="12.75">
      <c r="A443" s="12">
        <f>(J442)</f>
        <v>3121551.0175602864</v>
      </c>
      <c r="B443" s="3" t="s">
        <v>46</v>
      </c>
      <c r="C443" s="7"/>
      <c r="D443" s="7"/>
      <c r="E443" s="7"/>
      <c r="F443" s="7"/>
      <c r="G443" s="7"/>
      <c r="M443" s="21" t="s">
        <v>47</v>
      </c>
      <c r="N443">
        <v>630</v>
      </c>
      <c r="O443">
        <v>23.114999999999998</v>
      </c>
      <c r="P443">
        <v>8.5050000000000008</v>
      </c>
      <c r="Q443">
        <v>25.532</v>
      </c>
      <c r="R443">
        <v>1.7330000000000001</v>
      </c>
      <c r="S443">
        <v>28.94</v>
      </c>
      <c r="T443">
        <v>9.75</v>
      </c>
      <c r="U443">
        <v>3</v>
      </c>
      <c r="V443">
        <v>5.5</v>
      </c>
      <c r="W443">
        <v>9.1875</v>
      </c>
      <c r="X443">
        <v>43</v>
      </c>
      <c r="Y443">
        <v>6.95</v>
      </c>
      <c r="Z443">
        <v>10.9</v>
      </c>
    </row>
    <row r="444" spans="1:26" ht="12.75">
      <c r="A444" s="12">
        <f>(J448)</f>
        <v>0</v>
      </c>
      <c r="B444" s="3" t="s">
        <v>48</v>
      </c>
      <c r="C444" s="7"/>
      <c r="D444" s="7"/>
      <c r="E444" s="7"/>
      <c r="F444" s="7"/>
      <c r="G444" s="7"/>
      <c r="J444" s="4" t="s">
        <v>49</v>
      </c>
      <c r="M444" s="22" t="s">
        <v>50</v>
      </c>
      <c r="N444" s="13">
        <v>234</v>
      </c>
      <c r="O444" s="13">
        <v>23.114999999999998</v>
      </c>
      <c r="P444" s="13">
        <v>10.148999999999999</v>
      </c>
      <c r="Q444" s="13">
        <v>29.140999999999998</v>
      </c>
      <c r="R444" s="13">
        <v>1.694</v>
      </c>
      <c r="S444" s="13">
        <v>34.436</v>
      </c>
      <c r="T444" s="13">
        <v>9.75</v>
      </c>
      <c r="U444" s="13">
        <v>3</v>
      </c>
      <c r="V444" s="13">
        <v>5.5</v>
      </c>
      <c r="W444" s="13">
        <v>9.1875</v>
      </c>
      <c r="X444" s="13">
        <v>43</v>
      </c>
      <c r="Y444" s="13">
        <v>6.95</v>
      </c>
      <c r="Z444" s="13">
        <v>10.9</v>
      </c>
    </row>
    <row r="445" spans="1:26" ht="12.75">
      <c r="A445" s="11">
        <f>'Estimating Form'!$D$18/12+O957</f>
        <v>1.7760416666666667</v>
      </c>
      <c r="B445" s="3" t="s">
        <v>957</v>
      </c>
      <c r="J445">
        <f>VLOOKUP(A436,M433:Z463,IF(A441=1,13,12)+1,FALSE)</f>
        <v>3</v>
      </c>
      <c r="K445" s="4" t="s">
        <v>51</v>
      </c>
      <c r="M445" s="21" t="s">
        <v>27</v>
      </c>
      <c r="N445">
        <v>630</v>
      </c>
      <c r="O445">
        <v>33.03</v>
      </c>
      <c r="P445">
        <v>5.9219999999999997</v>
      </c>
      <c r="Q445">
        <v>28.338999999999999</v>
      </c>
      <c r="R445">
        <v>2.1880000000000002</v>
      </c>
      <c r="S445">
        <v>20.149999999999999</v>
      </c>
      <c r="T445">
        <v>9.75</v>
      </c>
      <c r="U445">
        <v>3</v>
      </c>
      <c r="V445">
        <v>5.5</v>
      </c>
      <c r="W445">
        <v>9.1875</v>
      </c>
      <c r="X445">
        <v>43</v>
      </c>
      <c r="Y445">
        <v>3.41</v>
      </c>
      <c r="Z445">
        <v>5.34</v>
      </c>
    </row>
    <row r="446" spans="1:26">
      <c r="A446" s="8"/>
      <c r="B446" s="4"/>
      <c r="J446">
        <f>(A440)</f>
        <v>0</v>
      </c>
      <c r="K446" s="4" t="s">
        <v>52</v>
      </c>
      <c r="M446" s="21" t="s">
        <v>53</v>
      </c>
      <c r="N446">
        <v>630</v>
      </c>
      <c r="O446">
        <v>33.03</v>
      </c>
      <c r="P446">
        <v>9.2799999999999994</v>
      </c>
      <c r="Q446">
        <v>41.933</v>
      </c>
      <c r="R446">
        <v>2.1259999999999999</v>
      </c>
      <c r="S446">
        <v>31.579000000000001</v>
      </c>
      <c r="T446">
        <v>9.75</v>
      </c>
      <c r="U446">
        <v>3</v>
      </c>
      <c r="V446">
        <v>5.5</v>
      </c>
      <c r="W446">
        <v>9.1875</v>
      </c>
      <c r="X446">
        <v>43</v>
      </c>
      <c r="Y446">
        <v>3.41</v>
      </c>
      <c r="Z446">
        <v>5.34</v>
      </c>
    </row>
    <row r="447" spans="1:26">
      <c r="A447" s="8"/>
      <c r="B447" s="9"/>
      <c r="M447" s="21" t="s">
        <v>54</v>
      </c>
      <c r="N447">
        <v>630</v>
      </c>
      <c r="O447">
        <v>33.03</v>
      </c>
      <c r="P447">
        <v>11.898999999999999</v>
      </c>
      <c r="Q447">
        <v>51.284999999999997</v>
      </c>
      <c r="R447">
        <v>2.0760000000000001</v>
      </c>
      <c r="S447">
        <v>40.488999999999997</v>
      </c>
      <c r="T447">
        <v>9.75</v>
      </c>
      <c r="U447">
        <v>3</v>
      </c>
      <c r="V447">
        <v>5.5</v>
      </c>
      <c r="W447">
        <v>9.1875</v>
      </c>
      <c r="X447">
        <v>43</v>
      </c>
      <c r="Y447">
        <v>3.41</v>
      </c>
      <c r="Z447">
        <v>5.34</v>
      </c>
    </row>
    <row r="448" spans="1:26">
      <c r="A448" s="8"/>
      <c r="B448" s="9"/>
      <c r="J448">
        <f>(J445*(J440+4)*J446*10^-6)</f>
        <v>0</v>
      </c>
      <c r="M448" s="22" t="s">
        <v>55</v>
      </c>
      <c r="N448" s="13">
        <v>630</v>
      </c>
      <c r="O448" s="13">
        <v>33.03</v>
      </c>
      <c r="P448" s="13">
        <v>14.196</v>
      </c>
      <c r="Q448" s="13">
        <v>58.588999999999999</v>
      </c>
      <c r="R448" s="13">
        <v>2.032</v>
      </c>
      <c r="S448" s="13">
        <v>48.304000000000002</v>
      </c>
      <c r="T448" s="13">
        <v>9.75</v>
      </c>
      <c r="U448" s="13">
        <v>3</v>
      </c>
      <c r="V448" s="13">
        <v>5.5</v>
      </c>
      <c r="W448" s="13">
        <v>9.1875</v>
      </c>
      <c r="X448" s="13">
        <v>43</v>
      </c>
      <c r="Y448" s="13">
        <v>3.41</v>
      </c>
      <c r="Z448" s="13">
        <v>5.34</v>
      </c>
    </row>
    <row r="449" spans="1:26">
      <c r="A449" s="8"/>
      <c r="M449" s="21" t="s">
        <v>56</v>
      </c>
      <c r="N449">
        <v>630</v>
      </c>
      <c r="O449">
        <v>44.031999999999996</v>
      </c>
      <c r="P449">
        <v>8.109</v>
      </c>
      <c r="Q449">
        <v>51.593000000000004</v>
      </c>
      <c r="R449">
        <v>2.5219999999999998</v>
      </c>
      <c r="S449">
        <v>27.591999999999999</v>
      </c>
      <c r="T449">
        <v>10.9375</v>
      </c>
      <c r="U449">
        <v>2.5</v>
      </c>
      <c r="V449">
        <v>6</v>
      </c>
      <c r="W449">
        <v>9.9375</v>
      </c>
      <c r="X449">
        <v>61</v>
      </c>
      <c r="Y449">
        <v>3</v>
      </c>
      <c r="Z449">
        <v>4.29</v>
      </c>
    </row>
    <row r="450" spans="1:26">
      <c r="A450" s="8"/>
      <c r="B450" s="9"/>
      <c r="M450" s="21" t="s">
        <v>57</v>
      </c>
      <c r="N450">
        <v>630</v>
      </c>
      <c r="O450">
        <v>44.031999999999996</v>
      </c>
      <c r="P450">
        <v>9.4350000000000005</v>
      </c>
      <c r="Q450">
        <v>59.033999999999999</v>
      </c>
      <c r="R450">
        <v>2.5009999999999999</v>
      </c>
      <c r="S450">
        <v>32.103999999999999</v>
      </c>
      <c r="T450">
        <v>10.9375</v>
      </c>
      <c r="U450">
        <v>2.5</v>
      </c>
      <c r="V450">
        <v>6</v>
      </c>
      <c r="W450">
        <v>9.9375</v>
      </c>
      <c r="X450">
        <v>61</v>
      </c>
      <c r="Y450">
        <v>3</v>
      </c>
      <c r="Z450">
        <v>4.29</v>
      </c>
    </row>
    <row r="451" spans="1:26" ht="15.75">
      <c r="A451" s="37"/>
      <c r="B451" s="97"/>
      <c r="C451" s="515" t="s">
        <v>93</v>
      </c>
      <c r="D451" s="515"/>
      <c r="E451" s="40">
        <f>(B452-A440)/(O449)-(0.39*A437)</f>
        <v>0.29533671534338668</v>
      </c>
      <c r="M451" s="23" t="s">
        <v>59</v>
      </c>
      <c r="N451">
        <v>630</v>
      </c>
      <c r="O451">
        <v>44.031999999999996</v>
      </c>
      <c r="P451">
        <v>14.49</v>
      </c>
      <c r="Q451">
        <v>84.834000000000003</v>
      </c>
      <c r="R451">
        <v>2.42</v>
      </c>
      <c r="S451">
        <v>49.305</v>
      </c>
      <c r="T451">
        <v>10.9375</v>
      </c>
      <c r="U451">
        <v>2.5</v>
      </c>
      <c r="V451">
        <v>6</v>
      </c>
      <c r="W451">
        <v>9.9375</v>
      </c>
      <c r="X451">
        <v>61</v>
      </c>
      <c r="Y451">
        <v>3</v>
      </c>
      <c r="Z451">
        <v>4.29</v>
      </c>
    </row>
    <row r="452" spans="1:26" ht="15.75">
      <c r="A452" s="37" t="s">
        <v>98</v>
      </c>
      <c r="B452" s="41">
        <f>A439+B456</f>
        <v>35.900906249999998</v>
      </c>
      <c r="C452" s="516" t="s">
        <v>99</v>
      </c>
      <c r="D452" s="516"/>
      <c r="E452" s="42">
        <f>((B452/(O449))*1.1)</f>
        <v>0.89687038687772547</v>
      </c>
      <c r="M452" s="24" t="s">
        <v>58</v>
      </c>
      <c r="N452" s="13">
        <v>630</v>
      </c>
      <c r="O452" s="13">
        <v>44.031999999999996</v>
      </c>
      <c r="P452" s="13">
        <v>19.181000000000001</v>
      </c>
      <c r="Q452" s="13">
        <v>105.14</v>
      </c>
      <c r="R452" s="13">
        <v>2.3410000000000002</v>
      </c>
      <c r="S452" s="13">
        <v>65.268000000000001</v>
      </c>
      <c r="T452" s="13">
        <v>10.9375</v>
      </c>
      <c r="U452" s="13">
        <v>2.5</v>
      </c>
      <c r="V452" s="13">
        <v>6</v>
      </c>
      <c r="W452" s="13">
        <v>9.9375</v>
      </c>
      <c r="X452" s="13">
        <v>61</v>
      </c>
      <c r="Y452" s="13">
        <v>3</v>
      </c>
      <c r="Z452" s="13">
        <v>4.29</v>
      </c>
    </row>
    <row r="453" spans="1:26" ht="15">
      <c r="A453" s="37"/>
      <c r="B453" s="38"/>
      <c r="C453" s="517" t="s">
        <v>106</v>
      </c>
      <c r="D453" s="514" t="str">
        <f>IF(E451&gt;90,"Good!","Too Low, increase GLOPU or decrease jack diameter, if above 50 use ASK ENGINEERING")</f>
        <v>Too Low, increase GLOPU or decrease jack diameter, if above 50 use ASK ENGINEERING</v>
      </c>
      <c r="E453" s="514"/>
      <c r="F453" s="10"/>
      <c r="M453" s="21" t="s">
        <v>60</v>
      </c>
      <c r="N453">
        <v>630</v>
      </c>
      <c r="O453">
        <v>56.578000000000003</v>
      </c>
      <c r="P453">
        <v>9.2829999999999995</v>
      </c>
      <c r="Q453">
        <v>76.736999999999995</v>
      </c>
      <c r="R453">
        <v>2.875</v>
      </c>
      <c r="S453">
        <v>31.588999999999999</v>
      </c>
      <c r="T453">
        <v>10.9375</v>
      </c>
      <c r="U453">
        <v>2.5</v>
      </c>
      <c r="V453">
        <v>6</v>
      </c>
      <c r="W453">
        <v>9.9375</v>
      </c>
      <c r="X453">
        <v>61</v>
      </c>
      <c r="Y453">
        <v>1.82</v>
      </c>
      <c r="Z453">
        <v>2.6</v>
      </c>
    </row>
    <row r="454" spans="1:26" ht="15.75" thickBot="1">
      <c r="A454" s="37"/>
      <c r="B454" s="44"/>
      <c r="C454" s="518"/>
      <c r="D454" s="519"/>
      <c r="E454" s="519"/>
      <c r="M454" s="21" t="s">
        <v>61</v>
      </c>
      <c r="N454">
        <v>630</v>
      </c>
      <c r="O454">
        <v>56.578000000000003</v>
      </c>
      <c r="P454">
        <v>10.734999999999999</v>
      </c>
      <c r="Q454">
        <v>87.494</v>
      </c>
      <c r="R454">
        <v>2.855</v>
      </c>
      <c r="S454">
        <v>36.527999999999999</v>
      </c>
      <c r="T454">
        <v>10.9375</v>
      </c>
      <c r="U454">
        <v>2.5</v>
      </c>
      <c r="V454">
        <v>6</v>
      </c>
      <c r="W454">
        <v>9.9375</v>
      </c>
      <c r="X454">
        <v>61</v>
      </c>
      <c r="Y454">
        <v>1.82</v>
      </c>
      <c r="Z454">
        <v>2.6</v>
      </c>
    </row>
    <row r="455" spans="1:26" ht="15">
      <c r="A455" s="37"/>
      <c r="B455" s="39"/>
      <c r="C455" s="512" t="s">
        <v>118</v>
      </c>
      <c r="D455" s="514" t="str">
        <f>IF(E452&gt;500,"Too High, reduce GLOPU or increase plunger diameter","Good!")</f>
        <v>Good!</v>
      </c>
      <c r="E455" s="514"/>
      <c r="M455" s="24" t="s">
        <v>70</v>
      </c>
      <c r="N455" s="13">
        <v>630</v>
      </c>
      <c r="O455" s="13">
        <v>56.578000000000003</v>
      </c>
      <c r="P455" s="13">
        <v>15.885999999999999</v>
      </c>
      <c r="Q455" s="13">
        <v>122.965</v>
      </c>
      <c r="R455" s="13">
        <v>2.782</v>
      </c>
      <c r="S455" s="13">
        <v>54.055</v>
      </c>
      <c r="T455" s="13">
        <v>10.9375</v>
      </c>
      <c r="U455" s="13">
        <v>2.5</v>
      </c>
      <c r="V455" s="13">
        <v>6</v>
      </c>
      <c r="W455" s="13">
        <v>9.9375</v>
      </c>
      <c r="X455" s="13">
        <v>61</v>
      </c>
      <c r="Y455" s="13">
        <v>1.82</v>
      </c>
      <c r="Z455" s="13">
        <v>2.6</v>
      </c>
    </row>
    <row r="456" spans="1:26" ht="15">
      <c r="A456" s="46" t="s">
        <v>122</v>
      </c>
      <c r="B456" s="96">
        <f>S437*A445</f>
        <v>35.900906249999998</v>
      </c>
      <c r="C456" s="513"/>
      <c r="D456" s="514"/>
      <c r="E456" s="514"/>
      <c r="M456" s="21" t="s">
        <v>62</v>
      </c>
      <c r="N456">
        <v>537</v>
      </c>
      <c r="O456">
        <v>70.695999999999998</v>
      </c>
      <c r="P456">
        <v>12.27</v>
      </c>
      <c r="Q456">
        <v>126.072</v>
      </c>
      <c r="R456">
        <v>3.2050000000000001</v>
      </c>
      <c r="S456">
        <v>41.75</v>
      </c>
      <c r="T456">
        <v>14.375</v>
      </c>
      <c r="U456">
        <v>2.5</v>
      </c>
      <c r="V456">
        <v>6</v>
      </c>
      <c r="W456">
        <v>12.9375</v>
      </c>
      <c r="X456">
        <v>80</v>
      </c>
      <c r="Y456">
        <v>1.66</v>
      </c>
      <c r="Z456">
        <v>2.62</v>
      </c>
    </row>
    <row r="457" spans="1:26">
      <c r="E457" s="10"/>
      <c r="F457" s="10"/>
      <c r="M457" s="22" t="s">
        <v>63</v>
      </c>
      <c r="N457" s="13">
        <v>537</v>
      </c>
      <c r="O457" s="13">
        <v>70.695999999999998</v>
      </c>
      <c r="P457" s="13">
        <v>18.847000000000001</v>
      </c>
      <c r="Q457" s="13">
        <v>183.79400000000001</v>
      </c>
      <c r="R457" s="13">
        <v>3.1230000000000002</v>
      </c>
      <c r="S457" s="13">
        <v>64.132000000000005</v>
      </c>
      <c r="T457" s="13">
        <v>14.375</v>
      </c>
      <c r="U457" s="13">
        <v>2.5</v>
      </c>
      <c r="V457" s="13">
        <v>6</v>
      </c>
      <c r="W457" s="13">
        <v>12.9375</v>
      </c>
      <c r="X457" s="13">
        <v>80</v>
      </c>
      <c r="Y457" s="13">
        <v>1.66</v>
      </c>
      <c r="Z457" s="13">
        <v>2.62</v>
      </c>
    </row>
    <row r="458" spans="1:26">
      <c r="A458" s="8"/>
      <c r="B458" s="9"/>
      <c r="M458" s="21" t="s">
        <v>64</v>
      </c>
      <c r="N458">
        <v>537</v>
      </c>
      <c r="O458">
        <v>88.456000000000003</v>
      </c>
      <c r="P458">
        <v>13.656000000000001</v>
      </c>
      <c r="Q458">
        <v>177.40799999999999</v>
      </c>
      <c r="R458">
        <v>3.6040000000000001</v>
      </c>
      <c r="S458">
        <v>46.466999999999999</v>
      </c>
      <c r="T458">
        <v>14.375</v>
      </c>
      <c r="U458">
        <v>2.5</v>
      </c>
      <c r="V458">
        <v>6</v>
      </c>
      <c r="W458">
        <v>13.3125</v>
      </c>
      <c r="X458">
        <v>80</v>
      </c>
      <c r="Y458">
        <v>1.06</v>
      </c>
      <c r="Z458">
        <v>1.67</v>
      </c>
    </row>
    <row r="459" spans="1:26">
      <c r="B459" s="9"/>
      <c r="M459" s="21" t="s">
        <v>65</v>
      </c>
      <c r="N459">
        <v>537</v>
      </c>
      <c r="O459">
        <v>88.456000000000003</v>
      </c>
      <c r="P459">
        <v>16.48</v>
      </c>
      <c r="Q459">
        <v>210.39400000000001</v>
      </c>
      <c r="R459">
        <v>3.573</v>
      </c>
      <c r="S459">
        <v>56.076999999999998</v>
      </c>
      <c r="T459">
        <v>14.375</v>
      </c>
      <c r="U459">
        <v>2.5</v>
      </c>
      <c r="V459">
        <v>6</v>
      </c>
      <c r="W459">
        <v>13.3125</v>
      </c>
      <c r="X459">
        <v>80</v>
      </c>
      <c r="Y459">
        <v>1.06</v>
      </c>
      <c r="Z459">
        <v>1.67</v>
      </c>
    </row>
    <row r="460" spans="1:26">
      <c r="B460" s="9"/>
      <c r="M460" s="22" t="s">
        <v>66</v>
      </c>
      <c r="N460" s="13">
        <v>537</v>
      </c>
      <c r="O460" s="13">
        <v>88.456000000000003</v>
      </c>
      <c r="P460" s="13">
        <v>20.350999999999999</v>
      </c>
      <c r="Q460" s="13">
        <v>253.547</v>
      </c>
      <c r="R460" s="13">
        <v>3.53</v>
      </c>
      <c r="S460" s="13">
        <v>69.248999999999995</v>
      </c>
      <c r="T460" s="13">
        <v>14.375</v>
      </c>
      <c r="U460" s="13">
        <v>2.5</v>
      </c>
      <c r="V460" s="13">
        <v>6</v>
      </c>
      <c r="W460" s="13">
        <v>13.3125</v>
      </c>
      <c r="X460" s="13">
        <v>80</v>
      </c>
      <c r="Y460" s="13">
        <v>1.06</v>
      </c>
      <c r="Z460" s="13">
        <v>1.67</v>
      </c>
    </row>
    <row r="461" spans="1:26">
      <c r="M461" s="21" t="s">
        <v>67</v>
      </c>
      <c r="N461">
        <v>449</v>
      </c>
      <c r="O461">
        <v>124.937</v>
      </c>
      <c r="P461">
        <v>16.503</v>
      </c>
      <c r="Q461">
        <v>306.48500000000001</v>
      </c>
      <c r="R461">
        <v>4.3090000000000002</v>
      </c>
      <c r="S461">
        <v>56.155999999999999</v>
      </c>
      <c r="T461">
        <v>0</v>
      </c>
      <c r="U461">
        <v>2.5</v>
      </c>
      <c r="V461">
        <v>6</v>
      </c>
      <c r="W461">
        <v>15.3125</v>
      </c>
      <c r="X461">
        <v>125</v>
      </c>
      <c r="Y461">
        <v>0.83899999999999997</v>
      </c>
      <c r="Z461">
        <v>0</v>
      </c>
    </row>
    <row r="462" spans="1:26">
      <c r="M462" s="22" t="s">
        <v>68</v>
      </c>
      <c r="N462" s="13">
        <v>449</v>
      </c>
      <c r="O462" s="13">
        <v>124.937</v>
      </c>
      <c r="P462" s="13">
        <v>18.78</v>
      </c>
      <c r="Q462" s="13">
        <v>345.36099999999999</v>
      </c>
      <c r="R462" s="13">
        <v>4.2880000000000003</v>
      </c>
      <c r="S462" s="13">
        <v>63.902999999999999</v>
      </c>
      <c r="T462" s="13">
        <v>0</v>
      </c>
      <c r="U462" s="13">
        <v>2.5</v>
      </c>
      <c r="V462" s="13">
        <v>6</v>
      </c>
      <c r="W462" s="13">
        <v>15.3125</v>
      </c>
      <c r="X462" s="13">
        <v>125</v>
      </c>
      <c r="Y462" s="13">
        <v>0.83899999999999997</v>
      </c>
      <c r="Z462" s="13">
        <v>0</v>
      </c>
    </row>
    <row r="463" spans="1:26">
      <c r="M463" s="22" t="s">
        <v>69</v>
      </c>
      <c r="N463" s="14">
        <v>449</v>
      </c>
      <c r="O463" s="14">
        <v>194.51900000000001</v>
      </c>
      <c r="P463" s="14">
        <v>25.079000000000001</v>
      </c>
      <c r="Q463" s="14">
        <v>726.36</v>
      </c>
      <c r="R463" s="14">
        <v>5.3819999999999997</v>
      </c>
      <c r="S463" s="14">
        <v>85.337000000000003</v>
      </c>
      <c r="T463" s="14">
        <v>0</v>
      </c>
      <c r="U463" s="14">
        <v>6</v>
      </c>
      <c r="V463" s="14">
        <v>6</v>
      </c>
      <c r="W463" s="14">
        <v>15.375</v>
      </c>
      <c r="X463" s="14">
        <v>192</v>
      </c>
      <c r="Y463" s="14">
        <v>0.54300000000000004</v>
      </c>
      <c r="Z463" s="14">
        <v>0</v>
      </c>
    </row>
    <row r="466" spans="1:26" ht="12.75">
      <c r="A466" s="3"/>
      <c r="B466" s="15"/>
      <c r="C466" s="16"/>
      <c r="D466" s="16"/>
      <c r="E466" s="16"/>
      <c r="F466" s="16"/>
      <c r="G466" s="20"/>
      <c r="H466" s="4" t="s">
        <v>1</v>
      </c>
      <c r="J466" s="4" t="s">
        <v>2</v>
      </c>
      <c r="M466" s="4" t="s">
        <v>3</v>
      </c>
    </row>
    <row r="467" spans="1:26" ht="12.75">
      <c r="A467" s="1"/>
      <c r="B467" s="1"/>
      <c r="C467" s="1"/>
      <c r="D467" s="1"/>
      <c r="E467" s="1"/>
      <c r="F467" s="1"/>
      <c r="G467" s="1"/>
      <c r="J467" s="5">
        <f>2.85*10^8</f>
        <v>285000000</v>
      </c>
      <c r="K467" s="4" t="s">
        <v>4</v>
      </c>
      <c r="N467" s="4" t="s">
        <v>5</v>
      </c>
      <c r="O467" s="6" t="s">
        <v>6</v>
      </c>
      <c r="P467" s="6" t="s">
        <v>7</v>
      </c>
      <c r="Q467" s="6" t="s">
        <v>8</v>
      </c>
      <c r="R467" s="6" t="s">
        <v>9</v>
      </c>
      <c r="S467" s="6" t="s">
        <v>10</v>
      </c>
      <c r="T467" s="6" t="s">
        <v>11</v>
      </c>
      <c r="U467" s="6" t="s">
        <v>11</v>
      </c>
      <c r="V467" s="6" t="s">
        <v>11</v>
      </c>
      <c r="W467" s="6" t="s">
        <v>11</v>
      </c>
      <c r="X467" s="6" t="s">
        <v>12</v>
      </c>
      <c r="Y467" s="520" t="s">
        <v>13</v>
      </c>
      <c r="Z467" s="520"/>
    </row>
    <row r="468" spans="1:26" ht="12.75">
      <c r="A468" s="1"/>
      <c r="B468" s="1"/>
      <c r="C468" s="1"/>
      <c r="D468" s="1"/>
      <c r="E468" s="1"/>
      <c r="F468" s="1"/>
      <c r="G468" s="1"/>
      <c r="J468">
        <f>VLOOKUP(A469,M466:Z496,4,FALSE)</f>
        <v>9.4350000000000005</v>
      </c>
      <c r="K468" s="4" t="s">
        <v>14</v>
      </c>
      <c r="M468" s="4" t="s">
        <v>15</v>
      </c>
      <c r="N468" s="4" t="s">
        <v>16</v>
      </c>
      <c r="O468" s="6" t="s">
        <v>17</v>
      </c>
      <c r="P468" s="6" t="s">
        <v>17</v>
      </c>
      <c r="Q468" s="6" t="s">
        <v>18</v>
      </c>
      <c r="R468" s="6" t="s">
        <v>19</v>
      </c>
      <c r="S468" s="6" t="s">
        <v>20</v>
      </c>
      <c r="T468" s="6" t="s">
        <v>21</v>
      </c>
      <c r="U468" s="6" t="s">
        <v>22</v>
      </c>
      <c r="V468" s="6" t="s">
        <v>23</v>
      </c>
      <c r="W468" s="6" t="s">
        <v>24</v>
      </c>
      <c r="Y468" s="6" t="s">
        <v>25</v>
      </c>
      <c r="Z468" s="4" t="s">
        <v>26</v>
      </c>
    </row>
    <row r="469" spans="1:26" ht="12.75">
      <c r="A469" s="11" t="s">
        <v>57</v>
      </c>
      <c r="B469" s="3" t="s">
        <v>28</v>
      </c>
      <c r="C469" s="7"/>
      <c r="D469" s="7"/>
      <c r="E469" s="7"/>
      <c r="F469" s="7"/>
      <c r="G469" s="3" t="s">
        <v>1</v>
      </c>
      <c r="J469">
        <f>(A472)</f>
        <v>0</v>
      </c>
      <c r="K469" s="4" t="s">
        <v>29</v>
      </c>
      <c r="M469" s="21" t="s">
        <v>30</v>
      </c>
      <c r="N469">
        <v>492</v>
      </c>
      <c r="O469">
        <v>11.781000000000001</v>
      </c>
      <c r="P469">
        <v>2.8980000000000001</v>
      </c>
      <c r="Q469">
        <v>4.766</v>
      </c>
      <c r="R469">
        <v>1.282</v>
      </c>
      <c r="S469">
        <v>9.8620000000000001</v>
      </c>
      <c r="T469">
        <v>0</v>
      </c>
      <c r="U469">
        <v>3</v>
      </c>
      <c r="V469">
        <v>6.75</v>
      </c>
      <c r="W469">
        <v>9.375</v>
      </c>
      <c r="X469">
        <v>22</v>
      </c>
      <c r="Y469">
        <v>10.47</v>
      </c>
      <c r="Z469">
        <v>0</v>
      </c>
    </row>
    <row r="470" spans="1:26" ht="12.75">
      <c r="A470" s="319">
        <f>'Estimating Form'!$D$18/12+O956</f>
        <v>1.3333333333333333</v>
      </c>
      <c r="B470" s="3" t="s">
        <v>31</v>
      </c>
      <c r="C470" s="7"/>
      <c r="D470" s="7"/>
      <c r="E470" s="7"/>
      <c r="F470" s="7"/>
      <c r="G470" s="7"/>
      <c r="J470">
        <f>VLOOKUP(A469,M466:Z497,7,FALSE)</f>
        <v>32.103999999999999</v>
      </c>
      <c r="K470" s="4" t="s">
        <v>32</v>
      </c>
      <c r="M470" s="22" t="s">
        <v>33</v>
      </c>
      <c r="N470" s="13">
        <v>492</v>
      </c>
      <c r="O470" s="13">
        <v>11.781000000000001</v>
      </c>
      <c r="P470" s="13">
        <v>5.94</v>
      </c>
      <c r="Q470" s="13">
        <v>8.33</v>
      </c>
      <c r="R470" s="13">
        <v>1.1839999999999999</v>
      </c>
      <c r="S470" s="13">
        <v>20.213999999999999</v>
      </c>
      <c r="T470" s="13">
        <v>0</v>
      </c>
      <c r="U470" s="13">
        <v>3</v>
      </c>
      <c r="V470" s="13">
        <v>6.75</v>
      </c>
      <c r="W470" s="13">
        <v>9.375</v>
      </c>
      <c r="X470" s="13">
        <v>22</v>
      </c>
      <c r="Y470" s="13">
        <v>10.47</v>
      </c>
      <c r="Z470" s="13">
        <v>0</v>
      </c>
    </row>
    <row r="471" spans="1:26" ht="12.75">
      <c r="A471" s="11">
        <v>0</v>
      </c>
      <c r="B471" s="3" t="s">
        <v>34</v>
      </c>
      <c r="C471" s="7"/>
      <c r="D471" s="7"/>
      <c r="E471" s="7"/>
      <c r="F471" s="7"/>
      <c r="G471" s="7"/>
      <c r="J471">
        <f>VLOOKUP(A469,M466:Z496,6,FALSE)</f>
        <v>2.5009999999999999</v>
      </c>
      <c r="K471" s="4" t="s">
        <v>35</v>
      </c>
      <c r="M471" s="21" t="s">
        <v>36</v>
      </c>
      <c r="N471">
        <v>594</v>
      </c>
      <c r="O471">
        <v>14.93</v>
      </c>
      <c r="P471">
        <v>3.3490000000000002</v>
      </c>
      <c r="Q471">
        <v>7.0650000000000004</v>
      </c>
      <c r="R471">
        <v>1.452</v>
      </c>
      <c r="S471">
        <v>11.396000000000001</v>
      </c>
      <c r="T471">
        <v>9.3125</v>
      </c>
      <c r="U471">
        <v>3</v>
      </c>
      <c r="V471">
        <v>5.5</v>
      </c>
      <c r="W471">
        <v>8.8125</v>
      </c>
      <c r="X471">
        <v>29</v>
      </c>
      <c r="Y471">
        <v>9.52</v>
      </c>
      <c r="Z471">
        <v>16.670000000000002</v>
      </c>
    </row>
    <row r="472" spans="1:26" ht="12.75">
      <c r="A472" s="11">
        <f>'Estimating Form'!$G$22</f>
        <v>0</v>
      </c>
      <c r="B472" s="3" t="s">
        <v>37</v>
      </c>
      <c r="C472" s="7"/>
      <c r="D472" s="7"/>
      <c r="E472" s="7"/>
      <c r="F472" s="7"/>
      <c r="G472" s="7"/>
      <c r="J472">
        <f>(A470*12+A471)</f>
        <v>16</v>
      </c>
      <c r="K472" s="4" t="s">
        <v>38</v>
      </c>
      <c r="M472" s="21" t="s">
        <v>39</v>
      </c>
      <c r="N472">
        <v>594</v>
      </c>
      <c r="O472">
        <v>14.93</v>
      </c>
      <c r="P472">
        <v>5.5170000000000003</v>
      </c>
      <c r="Q472">
        <v>10.686999999999999</v>
      </c>
      <c r="R472">
        <v>1.3919999999999999</v>
      </c>
      <c r="S472">
        <v>18.771999999999998</v>
      </c>
      <c r="T472">
        <v>9.3125</v>
      </c>
      <c r="U472">
        <v>3</v>
      </c>
      <c r="V472">
        <v>5.5</v>
      </c>
      <c r="W472">
        <v>8.8125</v>
      </c>
      <c r="X472">
        <v>29</v>
      </c>
      <c r="Y472">
        <v>9.52</v>
      </c>
      <c r="Z472">
        <v>16.670000000000002</v>
      </c>
    </row>
    <row r="473" spans="1:26" ht="12.75">
      <c r="A473" s="11">
        <f>'Estimating Form'!$D$20</f>
        <v>0</v>
      </c>
      <c r="B473" s="3" t="s">
        <v>40</v>
      </c>
      <c r="C473" s="7"/>
      <c r="D473" s="7"/>
      <c r="E473" s="7"/>
      <c r="F473" s="7"/>
      <c r="G473" s="7"/>
      <c r="J473">
        <f>(A470+A471/12)</f>
        <v>1.3333333333333333</v>
      </c>
      <c r="K473" s="4" t="s">
        <v>41</v>
      </c>
      <c r="M473" s="22" t="s">
        <v>42</v>
      </c>
      <c r="N473" s="13">
        <v>594</v>
      </c>
      <c r="O473" s="13">
        <v>14.93</v>
      </c>
      <c r="P473" s="13">
        <v>7.1269999999999998</v>
      </c>
      <c r="Q473" s="13">
        <v>12.893000000000001</v>
      </c>
      <c r="R473" s="13">
        <v>1.345</v>
      </c>
      <c r="S473" s="13">
        <v>24.251999999999999</v>
      </c>
      <c r="T473" s="13">
        <v>9.3125</v>
      </c>
      <c r="U473" s="13">
        <v>3</v>
      </c>
      <c r="V473" s="13">
        <v>5.5</v>
      </c>
      <c r="W473" s="13">
        <v>8.8125</v>
      </c>
      <c r="X473" s="13">
        <v>29</v>
      </c>
      <c r="Y473" s="13">
        <v>9.52</v>
      </c>
      <c r="Z473" s="13">
        <v>16.670000000000002</v>
      </c>
    </row>
    <row r="474" spans="1:26" ht="12.75">
      <c r="A474" s="11">
        <v>0</v>
      </c>
      <c r="B474" s="3" t="s">
        <v>43</v>
      </c>
      <c r="C474" s="7"/>
      <c r="D474" s="7"/>
      <c r="E474" s="7"/>
      <c r="F474" s="7"/>
      <c r="G474" s="7"/>
      <c r="M474" s="21" t="s">
        <v>44</v>
      </c>
      <c r="N474">
        <v>630</v>
      </c>
      <c r="O474">
        <v>23.114999999999998</v>
      </c>
      <c r="P474">
        <v>4.8</v>
      </c>
      <c r="Q474">
        <v>15.824999999999999</v>
      </c>
      <c r="R474">
        <v>1.8160000000000001</v>
      </c>
      <c r="S474">
        <v>16.332999999999998</v>
      </c>
      <c r="T474">
        <v>9.75</v>
      </c>
      <c r="U474">
        <v>3</v>
      </c>
      <c r="V474">
        <v>5.5</v>
      </c>
      <c r="W474">
        <v>9.1875</v>
      </c>
      <c r="X474">
        <v>43</v>
      </c>
      <c r="Y474">
        <v>6.95</v>
      </c>
      <c r="Z474">
        <v>10.9</v>
      </c>
    </row>
    <row r="475" spans="1:26" ht="12.75">
      <c r="A475" s="7"/>
      <c r="B475" s="7"/>
      <c r="C475" s="7"/>
      <c r="D475" s="7"/>
      <c r="E475" s="7"/>
      <c r="F475" s="7"/>
      <c r="G475" s="7"/>
      <c r="J475">
        <f>(J467*J468/(J469+(J470*J473/2)))*(J471/J472)^2</f>
        <v>3069773.2334466814</v>
      </c>
      <c r="M475" s="21" t="s">
        <v>45</v>
      </c>
      <c r="N475">
        <v>630</v>
      </c>
      <c r="O475">
        <v>23.114999999999998</v>
      </c>
      <c r="P475">
        <v>6.59</v>
      </c>
      <c r="Q475">
        <v>20.786000000000001</v>
      </c>
      <c r="R475">
        <v>1.776</v>
      </c>
      <c r="S475">
        <v>22.422000000000001</v>
      </c>
      <c r="T475">
        <v>9.75</v>
      </c>
      <c r="U475">
        <v>3</v>
      </c>
      <c r="V475">
        <v>5.5</v>
      </c>
      <c r="W475">
        <v>9.1875</v>
      </c>
      <c r="X475">
        <v>43</v>
      </c>
      <c r="Y475">
        <v>6.95</v>
      </c>
      <c r="Z475">
        <v>10.9</v>
      </c>
    </row>
    <row r="476" spans="1:26" ht="12.75">
      <c r="A476" s="12">
        <f>(J475)</f>
        <v>3069773.2334466814</v>
      </c>
      <c r="B476" s="3" t="s">
        <v>46</v>
      </c>
      <c r="C476" s="7"/>
      <c r="D476" s="7"/>
      <c r="E476" s="7"/>
      <c r="F476" s="7"/>
      <c r="G476" s="7"/>
      <c r="M476" s="21" t="s">
        <v>47</v>
      </c>
      <c r="N476">
        <v>630</v>
      </c>
      <c r="O476">
        <v>23.114999999999998</v>
      </c>
      <c r="P476">
        <v>8.5050000000000008</v>
      </c>
      <c r="Q476">
        <v>25.532</v>
      </c>
      <c r="R476">
        <v>1.7330000000000001</v>
      </c>
      <c r="S476">
        <v>28.94</v>
      </c>
      <c r="T476">
        <v>9.75</v>
      </c>
      <c r="U476">
        <v>3</v>
      </c>
      <c r="V476">
        <v>5.5</v>
      </c>
      <c r="W476">
        <v>9.1875</v>
      </c>
      <c r="X476">
        <v>43</v>
      </c>
      <c r="Y476">
        <v>6.95</v>
      </c>
      <c r="Z476">
        <v>10.9</v>
      </c>
    </row>
    <row r="477" spans="1:26" ht="12.75">
      <c r="A477" s="12">
        <f>(J481)</f>
        <v>0</v>
      </c>
      <c r="B477" s="3" t="s">
        <v>48</v>
      </c>
      <c r="C477" s="7"/>
      <c r="D477" s="7"/>
      <c r="E477" s="7"/>
      <c r="F477" s="7"/>
      <c r="G477" s="7"/>
      <c r="J477" s="4" t="s">
        <v>49</v>
      </c>
      <c r="M477" s="22" t="s">
        <v>50</v>
      </c>
      <c r="N477" s="13">
        <v>234</v>
      </c>
      <c r="O477" s="13">
        <v>23.114999999999998</v>
      </c>
      <c r="P477" s="13">
        <v>10.148999999999999</v>
      </c>
      <c r="Q477" s="13">
        <v>29.140999999999998</v>
      </c>
      <c r="R477" s="13">
        <v>1.694</v>
      </c>
      <c r="S477" s="13">
        <v>34.436</v>
      </c>
      <c r="T477" s="13">
        <v>9.75</v>
      </c>
      <c r="U477" s="13">
        <v>3</v>
      </c>
      <c r="V477" s="13">
        <v>5.5</v>
      </c>
      <c r="W477" s="13">
        <v>9.1875</v>
      </c>
      <c r="X477" s="13">
        <v>43</v>
      </c>
      <c r="Y477" s="13">
        <v>6.95</v>
      </c>
      <c r="Z477" s="13">
        <v>10.9</v>
      </c>
    </row>
    <row r="478" spans="1:26" ht="12.75">
      <c r="A478" s="11">
        <f>'Estimating Form'!$D$18/12+O957</f>
        <v>1.7760416666666667</v>
      </c>
      <c r="B478" s="3" t="s">
        <v>957</v>
      </c>
      <c r="J478">
        <f>VLOOKUP(A469,M466:Z496,IF(A474=1,13,12)+1,FALSE)</f>
        <v>3</v>
      </c>
      <c r="K478" s="4" t="s">
        <v>51</v>
      </c>
      <c r="M478" s="21" t="s">
        <v>27</v>
      </c>
      <c r="N478">
        <v>630</v>
      </c>
      <c r="O478">
        <v>33.03</v>
      </c>
      <c r="P478">
        <v>5.9219999999999997</v>
      </c>
      <c r="Q478">
        <v>28.338999999999999</v>
      </c>
      <c r="R478">
        <v>2.1880000000000002</v>
      </c>
      <c r="S478">
        <v>20.149999999999999</v>
      </c>
      <c r="T478">
        <v>9.75</v>
      </c>
      <c r="U478">
        <v>3</v>
      </c>
      <c r="V478">
        <v>5.5</v>
      </c>
      <c r="W478">
        <v>9.1875</v>
      </c>
      <c r="X478">
        <v>43</v>
      </c>
      <c r="Y478">
        <v>3.41</v>
      </c>
      <c r="Z478">
        <v>5.34</v>
      </c>
    </row>
    <row r="479" spans="1:26">
      <c r="A479" s="8"/>
      <c r="B479" s="4"/>
      <c r="J479">
        <f>(A473)</f>
        <v>0</v>
      </c>
      <c r="K479" s="4" t="s">
        <v>52</v>
      </c>
      <c r="M479" s="21" t="s">
        <v>53</v>
      </c>
      <c r="N479">
        <v>630</v>
      </c>
      <c r="O479">
        <v>33.03</v>
      </c>
      <c r="P479">
        <v>9.2799999999999994</v>
      </c>
      <c r="Q479">
        <v>41.933</v>
      </c>
      <c r="R479">
        <v>2.1259999999999999</v>
      </c>
      <c r="S479">
        <v>31.579000000000001</v>
      </c>
      <c r="T479">
        <v>9.75</v>
      </c>
      <c r="U479">
        <v>3</v>
      </c>
      <c r="V479">
        <v>5.5</v>
      </c>
      <c r="W479">
        <v>9.1875</v>
      </c>
      <c r="X479">
        <v>43</v>
      </c>
      <c r="Y479">
        <v>3.41</v>
      </c>
      <c r="Z479">
        <v>5.34</v>
      </c>
    </row>
    <row r="480" spans="1:26">
      <c r="A480" s="8"/>
      <c r="B480" s="9"/>
      <c r="M480" s="21" t="s">
        <v>54</v>
      </c>
      <c r="N480">
        <v>630</v>
      </c>
      <c r="O480">
        <v>33.03</v>
      </c>
      <c r="P480">
        <v>11.898999999999999</v>
      </c>
      <c r="Q480">
        <v>51.284999999999997</v>
      </c>
      <c r="R480">
        <v>2.0760000000000001</v>
      </c>
      <c r="S480">
        <v>40.488999999999997</v>
      </c>
      <c r="T480">
        <v>9.75</v>
      </c>
      <c r="U480">
        <v>3</v>
      </c>
      <c r="V480">
        <v>5.5</v>
      </c>
      <c r="W480">
        <v>9.1875</v>
      </c>
      <c r="X480">
        <v>43</v>
      </c>
      <c r="Y480">
        <v>3.41</v>
      </c>
      <c r="Z480">
        <v>5.34</v>
      </c>
    </row>
    <row r="481" spans="1:26">
      <c r="A481" s="8"/>
      <c r="B481" s="9"/>
      <c r="J481">
        <f>(J478*(J473+4)*J479*10^-6)</f>
        <v>0</v>
      </c>
      <c r="M481" s="22" t="s">
        <v>55</v>
      </c>
      <c r="N481" s="13">
        <v>630</v>
      </c>
      <c r="O481" s="13">
        <v>33.03</v>
      </c>
      <c r="P481" s="13">
        <v>14.196</v>
      </c>
      <c r="Q481" s="13">
        <v>58.588999999999999</v>
      </c>
      <c r="R481" s="13">
        <v>2.032</v>
      </c>
      <c r="S481" s="13">
        <v>48.304000000000002</v>
      </c>
      <c r="T481" s="13">
        <v>9.75</v>
      </c>
      <c r="U481" s="13">
        <v>3</v>
      </c>
      <c r="V481" s="13">
        <v>5.5</v>
      </c>
      <c r="W481" s="13">
        <v>9.1875</v>
      </c>
      <c r="X481" s="13">
        <v>43</v>
      </c>
      <c r="Y481" s="13">
        <v>3.41</v>
      </c>
      <c r="Z481" s="13">
        <v>5.34</v>
      </c>
    </row>
    <row r="482" spans="1:26">
      <c r="A482" s="8"/>
      <c r="M482" s="21" t="s">
        <v>56</v>
      </c>
      <c r="N482">
        <v>630</v>
      </c>
      <c r="O482">
        <v>44.031999999999996</v>
      </c>
      <c r="P482">
        <v>8.109</v>
      </c>
      <c r="Q482">
        <v>51.593000000000004</v>
      </c>
      <c r="R482">
        <v>2.5219999999999998</v>
      </c>
      <c r="S482">
        <v>27.591999999999999</v>
      </c>
      <c r="T482">
        <v>10.9375</v>
      </c>
      <c r="U482">
        <v>2.5</v>
      </c>
      <c r="V482">
        <v>6</v>
      </c>
      <c r="W482">
        <v>9.9375</v>
      </c>
      <c r="X482">
        <v>61</v>
      </c>
      <c r="Y482">
        <v>3</v>
      </c>
      <c r="Z482">
        <v>4.29</v>
      </c>
    </row>
    <row r="483" spans="1:26">
      <c r="A483" s="8"/>
      <c r="B483" s="9"/>
      <c r="M483" s="21" t="s">
        <v>57</v>
      </c>
      <c r="N483">
        <v>630</v>
      </c>
      <c r="O483">
        <v>44.031999999999996</v>
      </c>
      <c r="P483">
        <v>9.4350000000000005</v>
      </c>
      <c r="Q483">
        <v>59.033999999999999</v>
      </c>
      <c r="R483">
        <v>2.5009999999999999</v>
      </c>
      <c r="S483">
        <v>32.103999999999999</v>
      </c>
      <c r="T483">
        <v>10.9375</v>
      </c>
      <c r="U483">
        <v>2.5</v>
      </c>
      <c r="V483">
        <v>6</v>
      </c>
      <c r="W483">
        <v>9.9375</v>
      </c>
      <c r="X483">
        <v>61</v>
      </c>
      <c r="Y483">
        <v>3</v>
      </c>
      <c r="Z483">
        <v>4.29</v>
      </c>
    </row>
    <row r="484" spans="1:26" ht="15.75">
      <c r="A484" s="37"/>
      <c r="B484" s="97"/>
      <c r="C484" s="515" t="s">
        <v>93</v>
      </c>
      <c r="D484" s="515"/>
      <c r="E484" s="40">
        <f>(B485-A473)/(O483)-(0.39*A470)</f>
        <v>0.29533671534338668</v>
      </c>
      <c r="M484" s="23" t="s">
        <v>59</v>
      </c>
      <c r="N484">
        <v>630</v>
      </c>
      <c r="O484">
        <v>44.031999999999996</v>
      </c>
      <c r="P484">
        <v>14.49</v>
      </c>
      <c r="Q484">
        <v>84.834000000000003</v>
      </c>
      <c r="R484">
        <v>2.42</v>
      </c>
      <c r="S484">
        <v>49.305</v>
      </c>
      <c r="T484">
        <v>10.9375</v>
      </c>
      <c r="U484">
        <v>2.5</v>
      </c>
      <c r="V484">
        <v>6</v>
      </c>
      <c r="W484">
        <v>9.9375</v>
      </c>
      <c r="X484">
        <v>61</v>
      </c>
      <c r="Y484">
        <v>3</v>
      </c>
      <c r="Z484">
        <v>4.29</v>
      </c>
    </row>
    <row r="485" spans="1:26" ht="15.75">
      <c r="A485" s="37" t="s">
        <v>98</v>
      </c>
      <c r="B485" s="41">
        <f>A472+B489</f>
        <v>35.900906249999998</v>
      </c>
      <c r="C485" s="516" t="s">
        <v>99</v>
      </c>
      <c r="D485" s="516"/>
      <c r="E485" s="42">
        <f>((B485/(O483))*1.1)</f>
        <v>0.89687038687772547</v>
      </c>
      <c r="M485" s="24" t="s">
        <v>58</v>
      </c>
      <c r="N485" s="13">
        <v>630</v>
      </c>
      <c r="O485" s="13">
        <v>44.031999999999996</v>
      </c>
      <c r="P485" s="13">
        <v>19.181000000000001</v>
      </c>
      <c r="Q485" s="13">
        <v>105.14</v>
      </c>
      <c r="R485" s="13">
        <v>2.3410000000000002</v>
      </c>
      <c r="S485" s="13">
        <v>65.268000000000001</v>
      </c>
      <c r="T485" s="13">
        <v>10.9375</v>
      </c>
      <c r="U485" s="13">
        <v>2.5</v>
      </c>
      <c r="V485" s="13">
        <v>6</v>
      </c>
      <c r="W485" s="13">
        <v>9.9375</v>
      </c>
      <c r="X485" s="13">
        <v>61</v>
      </c>
      <c r="Y485" s="13">
        <v>3</v>
      </c>
      <c r="Z485" s="13">
        <v>4.29</v>
      </c>
    </row>
    <row r="486" spans="1:26" ht="15">
      <c r="A486" s="37"/>
      <c r="B486" s="38"/>
      <c r="C486" s="517" t="s">
        <v>106</v>
      </c>
      <c r="D486" s="514" t="str">
        <f>IF(E484&gt;90,"Good!","Too Low, increase GLOPU or decrease jack diameter, if above 50 use ASK ENGINEERING")</f>
        <v>Too Low, increase GLOPU or decrease jack diameter, if above 50 use ASK ENGINEERING</v>
      </c>
      <c r="E486" s="514"/>
      <c r="F486" s="10"/>
      <c r="M486" s="21" t="s">
        <v>60</v>
      </c>
      <c r="N486">
        <v>630</v>
      </c>
      <c r="O486">
        <v>56.578000000000003</v>
      </c>
      <c r="P486">
        <v>9.2829999999999995</v>
      </c>
      <c r="Q486">
        <v>76.736999999999995</v>
      </c>
      <c r="R486">
        <v>2.875</v>
      </c>
      <c r="S486">
        <v>31.588999999999999</v>
      </c>
      <c r="T486">
        <v>10.9375</v>
      </c>
      <c r="U486">
        <v>2.5</v>
      </c>
      <c r="V486">
        <v>6</v>
      </c>
      <c r="W486">
        <v>9.9375</v>
      </c>
      <c r="X486">
        <v>61</v>
      </c>
      <c r="Y486">
        <v>1.82</v>
      </c>
      <c r="Z486">
        <v>2.6</v>
      </c>
    </row>
    <row r="487" spans="1:26" ht="15.75" thickBot="1">
      <c r="A487" s="37"/>
      <c r="B487" s="44"/>
      <c r="C487" s="518"/>
      <c r="D487" s="519"/>
      <c r="E487" s="519"/>
      <c r="M487" s="21" t="s">
        <v>61</v>
      </c>
      <c r="N487">
        <v>630</v>
      </c>
      <c r="O487">
        <v>56.578000000000003</v>
      </c>
      <c r="P487">
        <v>10.734999999999999</v>
      </c>
      <c r="Q487">
        <v>87.494</v>
      </c>
      <c r="R487">
        <v>2.855</v>
      </c>
      <c r="S487">
        <v>36.527999999999999</v>
      </c>
      <c r="T487">
        <v>10.9375</v>
      </c>
      <c r="U487">
        <v>2.5</v>
      </c>
      <c r="V487">
        <v>6</v>
      </c>
      <c r="W487">
        <v>9.9375</v>
      </c>
      <c r="X487">
        <v>61</v>
      </c>
      <c r="Y487">
        <v>1.82</v>
      </c>
      <c r="Z487">
        <v>2.6</v>
      </c>
    </row>
    <row r="488" spans="1:26" ht="15">
      <c r="A488" s="37"/>
      <c r="B488" s="39"/>
      <c r="C488" s="512" t="s">
        <v>118</v>
      </c>
      <c r="D488" s="514" t="str">
        <f>IF(E485&gt;500,"Too High, reduce GLOPU or increase plunger diameter","Good!")</f>
        <v>Good!</v>
      </c>
      <c r="E488" s="514"/>
      <c r="M488" s="24" t="s">
        <v>70</v>
      </c>
      <c r="N488" s="13">
        <v>630</v>
      </c>
      <c r="O488" s="13">
        <v>56.578000000000003</v>
      </c>
      <c r="P488" s="13">
        <v>15.885999999999999</v>
      </c>
      <c r="Q488" s="13">
        <v>122.965</v>
      </c>
      <c r="R488" s="13">
        <v>2.782</v>
      </c>
      <c r="S488" s="13">
        <v>54.055</v>
      </c>
      <c r="T488" s="13">
        <v>10.9375</v>
      </c>
      <c r="U488" s="13">
        <v>2.5</v>
      </c>
      <c r="V488" s="13">
        <v>6</v>
      </c>
      <c r="W488" s="13">
        <v>9.9375</v>
      </c>
      <c r="X488" s="13">
        <v>61</v>
      </c>
      <c r="Y488" s="13">
        <v>1.82</v>
      </c>
      <c r="Z488" s="13">
        <v>2.6</v>
      </c>
    </row>
    <row r="489" spans="1:26" ht="15">
      <c r="A489" s="46" t="s">
        <v>122</v>
      </c>
      <c r="B489" s="96">
        <f>S470*A478</f>
        <v>35.900906249999998</v>
      </c>
      <c r="C489" s="513"/>
      <c r="D489" s="514"/>
      <c r="E489" s="514"/>
      <c r="M489" s="21" t="s">
        <v>62</v>
      </c>
      <c r="N489">
        <v>537</v>
      </c>
      <c r="O489">
        <v>70.695999999999998</v>
      </c>
      <c r="P489">
        <v>12.27</v>
      </c>
      <c r="Q489">
        <v>126.072</v>
      </c>
      <c r="R489">
        <v>3.2050000000000001</v>
      </c>
      <c r="S489">
        <v>41.75</v>
      </c>
      <c r="T489">
        <v>14.375</v>
      </c>
      <c r="U489">
        <v>2.5</v>
      </c>
      <c r="V489">
        <v>6</v>
      </c>
      <c r="W489">
        <v>12.9375</v>
      </c>
      <c r="X489">
        <v>80</v>
      </c>
      <c r="Y489">
        <v>1.66</v>
      </c>
      <c r="Z489">
        <v>2.62</v>
      </c>
    </row>
    <row r="490" spans="1:26">
      <c r="E490" s="10"/>
      <c r="F490" s="10"/>
      <c r="M490" s="22" t="s">
        <v>63</v>
      </c>
      <c r="N490" s="13">
        <v>537</v>
      </c>
      <c r="O490" s="13">
        <v>70.695999999999998</v>
      </c>
      <c r="P490" s="13">
        <v>18.847000000000001</v>
      </c>
      <c r="Q490" s="13">
        <v>183.79400000000001</v>
      </c>
      <c r="R490" s="13">
        <v>3.1230000000000002</v>
      </c>
      <c r="S490" s="13">
        <v>64.132000000000005</v>
      </c>
      <c r="T490" s="13">
        <v>14.375</v>
      </c>
      <c r="U490" s="13">
        <v>2.5</v>
      </c>
      <c r="V490" s="13">
        <v>6</v>
      </c>
      <c r="W490" s="13">
        <v>12.9375</v>
      </c>
      <c r="X490" s="13">
        <v>80</v>
      </c>
      <c r="Y490" s="13">
        <v>1.66</v>
      </c>
      <c r="Z490" s="13">
        <v>2.62</v>
      </c>
    </row>
    <row r="491" spans="1:26">
      <c r="A491" s="8"/>
      <c r="B491" s="9"/>
      <c r="M491" s="21" t="s">
        <v>64</v>
      </c>
      <c r="N491">
        <v>537</v>
      </c>
      <c r="O491">
        <v>88.456000000000003</v>
      </c>
      <c r="P491">
        <v>13.656000000000001</v>
      </c>
      <c r="Q491">
        <v>177.40799999999999</v>
      </c>
      <c r="R491">
        <v>3.6040000000000001</v>
      </c>
      <c r="S491">
        <v>46.466999999999999</v>
      </c>
      <c r="T491">
        <v>14.375</v>
      </c>
      <c r="U491">
        <v>2.5</v>
      </c>
      <c r="V491">
        <v>6</v>
      </c>
      <c r="W491">
        <v>13.3125</v>
      </c>
      <c r="X491">
        <v>80</v>
      </c>
      <c r="Y491">
        <v>1.06</v>
      </c>
      <c r="Z491">
        <v>1.67</v>
      </c>
    </row>
    <row r="492" spans="1:26">
      <c r="B492" s="9"/>
      <c r="M492" s="21" t="s">
        <v>65</v>
      </c>
      <c r="N492">
        <v>537</v>
      </c>
      <c r="O492">
        <v>88.456000000000003</v>
      </c>
      <c r="P492">
        <v>16.48</v>
      </c>
      <c r="Q492">
        <v>210.39400000000001</v>
      </c>
      <c r="R492">
        <v>3.573</v>
      </c>
      <c r="S492">
        <v>56.076999999999998</v>
      </c>
      <c r="T492">
        <v>14.375</v>
      </c>
      <c r="U492">
        <v>2.5</v>
      </c>
      <c r="V492">
        <v>6</v>
      </c>
      <c r="W492">
        <v>13.3125</v>
      </c>
      <c r="X492">
        <v>80</v>
      </c>
      <c r="Y492">
        <v>1.06</v>
      </c>
      <c r="Z492">
        <v>1.67</v>
      </c>
    </row>
    <row r="493" spans="1:26">
      <c r="B493" s="9"/>
      <c r="M493" s="22" t="s">
        <v>66</v>
      </c>
      <c r="N493" s="13">
        <v>537</v>
      </c>
      <c r="O493" s="13">
        <v>88.456000000000003</v>
      </c>
      <c r="P493" s="13">
        <v>20.350999999999999</v>
      </c>
      <c r="Q493" s="13">
        <v>253.547</v>
      </c>
      <c r="R493" s="13">
        <v>3.53</v>
      </c>
      <c r="S493" s="13">
        <v>69.248999999999995</v>
      </c>
      <c r="T493" s="13">
        <v>14.375</v>
      </c>
      <c r="U493" s="13">
        <v>2.5</v>
      </c>
      <c r="V493" s="13">
        <v>6</v>
      </c>
      <c r="W493" s="13">
        <v>13.3125</v>
      </c>
      <c r="X493" s="13">
        <v>80</v>
      </c>
      <c r="Y493" s="13">
        <v>1.06</v>
      </c>
      <c r="Z493" s="13">
        <v>1.67</v>
      </c>
    </row>
    <row r="494" spans="1:26">
      <c r="M494" s="21" t="s">
        <v>67</v>
      </c>
      <c r="N494">
        <v>449</v>
      </c>
      <c r="O494">
        <v>124.937</v>
      </c>
      <c r="P494">
        <v>16.503</v>
      </c>
      <c r="Q494">
        <v>306.48500000000001</v>
      </c>
      <c r="R494">
        <v>4.3090000000000002</v>
      </c>
      <c r="S494">
        <v>56.155999999999999</v>
      </c>
      <c r="T494">
        <v>0</v>
      </c>
      <c r="U494">
        <v>2.5</v>
      </c>
      <c r="V494">
        <v>6</v>
      </c>
      <c r="W494">
        <v>15.3125</v>
      </c>
      <c r="X494">
        <v>125</v>
      </c>
      <c r="Y494">
        <v>0.83899999999999997</v>
      </c>
      <c r="Z494">
        <v>0</v>
      </c>
    </row>
    <row r="495" spans="1:26">
      <c r="M495" s="22" t="s">
        <v>68</v>
      </c>
      <c r="N495" s="13">
        <v>449</v>
      </c>
      <c r="O495" s="13">
        <v>124.937</v>
      </c>
      <c r="P495" s="13">
        <v>18.78</v>
      </c>
      <c r="Q495" s="13">
        <v>345.36099999999999</v>
      </c>
      <c r="R495" s="13">
        <v>4.2880000000000003</v>
      </c>
      <c r="S495" s="13">
        <v>63.902999999999999</v>
      </c>
      <c r="T495" s="13">
        <v>0</v>
      </c>
      <c r="U495" s="13">
        <v>2.5</v>
      </c>
      <c r="V495" s="13">
        <v>6</v>
      </c>
      <c r="W495" s="13">
        <v>15.3125</v>
      </c>
      <c r="X495" s="13">
        <v>125</v>
      </c>
      <c r="Y495" s="13">
        <v>0.83899999999999997</v>
      </c>
      <c r="Z495" s="13">
        <v>0</v>
      </c>
    </row>
    <row r="496" spans="1:26">
      <c r="M496" s="22" t="s">
        <v>69</v>
      </c>
      <c r="N496" s="14">
        <v>449</v>
      </c>
      <c r="O496" s="14">
        <v>194.51900000000001</v>
      </c>
      <c r="P496" s="14">
        <v>25.079000000000001</v>
      </c>
      <c r="Q496" s="14">
        <v>726.36</v>
      </c>
      <c r="R496" s="14">
        <v>5.3819999999999997</v>
      </c>
      <c r="S496" s="14">
        <v>85.337000000000003</v>
      </c>
      <c r="T496" s="14">
        <v>0</v>
      </c>
      <c r="U496" s="14">
        <v>6</v>
      </c>
      <c r="V496" s="14">
        <v>6</v>
      </c>
      <c r="W496" s="14">
        <v>15.375</v>
      </c>
      <c r="X496" s="14">
        <v>192</v>
      </c>
      <c r="Y496" s="14">
        <v>0.54300000000000004</v>
      </c>
      <c r="Z496" s="14">
        <v>0</v>
      </c>
    </row>
    <row r="499" spans="1:26" ht="12.75">
      <c r="A499" s="3"/>
      <c r="B499" s="15"/>
      <c r="C499" s="16"/>
      <c r="D499" s="16"/>
      <c r="E499" s="16"/>
      <c r="F499" s="16"/>
      <c r="G499" s="20"/>
      <c r="H499" s="4" t="s">
        <v>1</v>
      </c>
      <c r="J499" s="4" t="s">
        <v>2</v>
      </c>
      <c r="M499" s="4" t="s">
        <v>3</v>
      </c>
    </row>
    <row r="500" spans="1:26" ht="12.75">
      <c r="A500" s="1"/>
      <c r="B500" s="1"/>
      <c r="C500" s="1"/>
      <c r="D500" s="1"/>
      <c r="E500" s="1"/>
      <c r="F500" s="1"/>
      <c r="G500" s="1"/>
      <c r="J500" s="5">
        <f>2.85*10^8</f>
        <v>285000000</v>
      </c>
      <c r="K500" s="4" t="s">
        <v>4</v>
      </c>
      <c r="N500" s="4" t="s">
        <v>5</v>
      </c>
      <c r="O500" s="6" t="s">
        <v>6</v>
      </c>
      <c r="P500" s="6" t="s">
        <v>7</v>
      </c>
      <c r="Q500" s="6" t="s">
        <v>8</v>
      </c>
      <c r="R500" s="6" t="s">
        <v>9</v>
      </c>
      <c r="S500" s="6" t="s">
        <v>10</v>
      </c>
      <c r="T500" s="6" t="s">
        <v>11</v>
      </c>
      <c r="U500" s="6" t="s">
        <v>11</v>
      </c>
      <c r="V500" s="6" t="s">
        <v>11</v>
      </c>
      <c r="W500" s="6" t="s">
        <v>11</v>
      </c>
      <c r="X500" s="6" t="s">
        <v>12</v>
      </c>
      <c r="Y500" s="520" t="s">
        <v>13</v>
      </c>
      <c r="Z500" s="520"/>
    </row>
    <row r="501" spans="1:26" ht="12.75">
      <c r="A501" s="1"/>
      <c r="B501" s="1"/>
      <c r="C501" s="1"/>
      <c r="D501" s="1"/>
      <c r="E501" s="1"/>
      <c r="F501" s="1"/>
      <c r="G501" s="1"/>
      <c r="J501">
        <f>VLOOKUP(A502,M499:Z529,4,FALSE)</f>
        <v>14.49</v>
      </c>
      <c r="K501" s="4" t="s">
        <v>14</v>
      </c>
      <c r="M501" s="4" t="s">
        <v>15</v>
      </c>
      <c r="N501" s="4" t="s">
        <v>16</v>
      </c>
      <c r="O501" s="6" t="s">
        <v>17</v>
      </c>
      <c r="P501" s="6" t="s">
        <v>17</v>
      </c>
      <c r="Q501" s="6" t="s">
        <v>18</v>
      </c>
      <c r="R501" s="6" t="s">
        <v>19</v>
      </c>
      <c r="S501" s="6" t="s">
        <v>20</v>
      </c>
      <c r="T501" s="6" t="s">
        <v>21</v>
      </c>
      <c r="U501" s="6" t="s">
        <v>22</v>
      </c>
      <c r="V501" s="6" t="s">
        <v>23</v>
      </c>
      <c r="W501" s="6" t="s">
        <v>24</v>
      </c>
      <c r="Y501" s="6" t="s">
        <v>25</v>
      </c>
      <c r="Z501" s="4" t="s">
        <v>26</v>
      </c>
    </row>
    <row r="502" spans="1:26" ht="12.75">
      <c r="A502" s="11" t="s">
        <v>59</v>
      </c>
      <c r="B502" s="3" t="s">
        <v>28</v>
      </c>
      <c r="C502" s="7"/>
      <c r="D502" s="7"/>
      <c r="E502" s="7"/>
      <c r="F502" s="7"/>
      <c r="G502" s="3" t="s">
        <v>1</v>
      </c>
      <c r="J502">
        <f>(A505)</f>
        <v>0</v>
      </c>
      <c r="K502" s="4" t="s">
        <v>29</v>
      </c>
      <c r="M502" s="21" t="s">
        <v>30</v>
      </c>
      <c r="N502">
        <v>492</v>
      </c>
      <c r="O502">
        <v>11.781000000000001</v>
      </c>
      <c r="P502">
        <v>2.8980000000000001</v>
      </c>
      <c r="Q502">
        <v>4.766</v>
      </c>
      <c r="R502">
        <v>1.282</v>
      </c>
      <c r="S502">
        <v>9.8620000000000001</v>
      </c>
      <c r="T502">
        <v>0</v>
      </c>
      <c r="U502">
        <v>3</v>
      </c>
      <c r="V502">
        <v>6.75</v>
      </c>
      <c r="W502">
        <v>9.375</v>
      </c>
      <c r="X502">
        <v>22</v>
      </c>
      <c r="Y502">
        <v>10.47</v>
      </c>
      <c r="Z502">
        <v>0</v>
      </c>
    </row>
    <row r="503" spans="1:26" ht="12.75">
      <c r="A503" s="319">
        <f>'Estimating Form'!$D$18/12+O956</f>
        <v>1.3333333333333333</v>
      </c>
      <c r="B503" s="3" t="s">
        <v>31</v>
      </c>
      <c r="C503" s="7"/>
      <c r="D503" s="7"/>
      <c r="E503" s="7"/>
      <c r="F503" s="7"/>
      <c r="G503" s="7"/>
      <c r="J503">
        <f>VLOOKUP(A502,M499:Z530,7,FALSE)</f>
        <v>49.305</v>
      </c>
      <c r="K503" s="4" t="s">
        <v>32</v>
      </c>
      <c r="M503" s="22" t="s">
        <v>33</v>
      </c>
      <c r="N503" s="13">
        <v>492</v>
      </c>
      <c r="O503" s="13">
        <v>11.781000000000001</v>
      </c>
      <c r="P503" s="13">
        <v>5.94</v>
      </c>
      <c r="Q503" s="13">
        <v>8.33</v>
      </c>
      <c r="R503" s="13">
        <v>1.1839999999999999</v>
      </c>
      <c r="S503" s="13">
        <v>20.213999999999999</v>
      </c>
      <c r="T503" s="13">
        <v>0</v>
      </c>
      <c r="U503" s="13">
        <v>3</v>
      </c>
      <c r="V503" s="13">
        <v>6.75</v>
      </c>
      <c r="W503" s="13">
        <v>9.375</v>
      </c>
      <c r="X503" s="13">
        <v>22</v>
      </c>
      <c r="Y503" s="13">
        <v>10.47</v>
      </c>
      <c r="Z503" s="13">
        <v>0</v>
      </c>
    </row>
    <row r="504" spans="1:26" ht="12.75">
      <c r="A504" s="11">
        <v>0</v>
      </c>
      <c r="B504" s="3" t="s">
        <v>34</v>
      </c>
      <c r="C504" s="7"/>
      <c r="D504" s="7"/>
      <c r="E504" s="7"/>
      <c r="F504" s="7"/>
      <c r="G504" s="7"/>
      <c r="J504">
        <f>VLOOKUP(A502,M499:Z529,6,FALSE)</f>
        <v>2.42</v>
      </c>
      <c r="K504" s="4" t="s">
        <v>35</v>
      </c>
      <c r="M504" s="21" t="s">
        <v>36</v>
      </c>
      <c r="N504">
        <v>594</v>
      </c>
      <c r="O504">
        <v>14.93</v>
      </c>
      <c r="P504">
        <v>3.3490000000000002</v>
      </c>
      <c r="Q504">
        <v>7.0650000000000004</v>
      </c>
      <c r="R504">
        <v>1.452</v>
      </c>
      <c r="S504">
        <v>11.396000000000001</v>
      </c>
      <c r="T504">
        <v>9.3125</v>
      </c>
      <c r="U504">
        <v>3</v>
      </c>
      <c r="V504">
        <v>5.5</v>
      </c>
      <c r="W504">
        <v>8.8125</v>
      </c>
      <c r="X504">
        <v>29</v>
      </c>
      <c r="Y504">
        <v>9.52</v>
      </c>
      <c r="Z504">
        <v>16.670000000000002</v>
      </c>
    </row>
    <row r="505" spans="1:26" ht="12.75">
      <c r="A505" s="11">
        <f>'Estimating Form'!$G$22</f>
        <v>0</v>
      </c>
      <c r="B505" s="3" t="s">
        <v>37</v>
      </c>
      <c r="C505" s="7"/>
      <c r="D505" s="7"/>
      <c r="E505" s="7"/>
      <c r="F505" s="7"/>
      <c r="G505" s="7"/>
      <c r="J505">
        <f>(A503*12+A504)</f>
        <v>16</v>
      </c>
      <c r="K505" s="4" t="s">
        <v>38</v>
      </c>
      <c r="M505" s="21" t="s">
        <v>39</v>
      </c>
      <c r="N505">
        <v>594</v>
      </c>
      <c r="O505">
        <v>14.93</v>
      </c>
      <c r="P505">
        <v>5.5170000000000003</v>
      </c>
      <c r="Q505">
        <v>10.686999999999999</v>
      </c>
      <c r="R505">
        <v>1.3919999999999999</v>
      </c>
      <c r="S505">
        <v>18.771999999999998</v>
      </c>
      <c r="T505">
        <v>9.3125</v>
      </c>
      <c r="U505">
        <v>3</v>
      </c>
      <c r="V505">
        <v>5.5</v>
      </c>
      <c r="W505">
        <v>8.8125</v>
      </c>
      <c r="X505">
        <v>29</v>
      </c>
      <c r="Y505">
        <v>9.52</v>
      </c>
      <c r="Z505">
        <v>16.670000000000002</v>
      </c>
    </row>
    <row r="506" spans="1:26" ht="12.75">
      <c r="A506" s="11">
        <f>'Estimating Form'!$D$20</f>
        <v>0</v>
      </c>
      <c r="B506" s="3" t="s">
        <v>40</v>
      </c>
      <c r="C506" s="7"/>
      <c r="D506" s="7"/>
      <c r="E506" s="7"/>
      <c r="F506" s="7"/>
      <c r="G506" s="7"/>
      <c r="J506">
        <f>(A503+A504/12)</f>
        <v>1.3333333333333333</v>
      </c>
      <c r="K506" s="4" t="s">
        <v>41</v>
      </c>
      <c r="M506" s="22" t="s">
        <v>42</v>
      </c>
      <c r="N506" s="13">
        <v>594</v>
      </c>
      <c r="O506" s="13">
        <v>14.93</v>
      </c>
      <c r="P506" s="13">
        <v>7.1269999999999998</v>
      </c>
      <c r="Q506" s="13">
        <v>12.893000000000001</v>
      </c>
      <c r="R506" s="13">
        <v>1.345</v>
      </c>
      <c r="S506" s="13">
        <v>24.251999999999999</v>
      </c>
      <c r="T506" s="13">
        <v>9.3125</v>
      </c>
      <c r="U506" s="13">
        <v>3</v>
      </c>
      <c r="V506" s="13">
        <v>5.5</v>
      </c>
      <c r="W506" s="13">
        <v>8.8125</v>
      </c>
      <c r="X506" s="13">
        <v>29</v>
      </c>
      <c r="Y506" s="13">
        <v>9.52</v>
      </c>
      <c r="Z506" s="13">
        <v>16.670000000000002</v>
      </c>
    </row>
    <row r="507" spans="1:26" ht="12.75">
      <c r="A507" s="11">
        <v>0</v>
      </c>
      <c r="B507" s="3" t="s">
        <v>43</v>
      </c>
      <c r="C507" s="7"/>
      <c r="D507" s="7"/>
      <c r="E507" s="7"/>
      <c r="F507" s="7"/>
      <c r="G507" s="7"/>
      <c r="M507" s="21" t="s">
        <v>44</v>
      </c>
      <c r="N507">
        <v>630</v>
      </c>
      <c r="O507">
        <v>23.114999999999998</v>
      </c>
      <c r="P507">
        <v>4.8</v>
      </c>
      <c r="Q507">
        <v>15.824999999999999</v>
      </c>
      <c r="R507">
        <v>1.8160000000000001</v>
      </c>
      <c r="S507">
        <v>16.332999999999998</v>
      </c>
      <c r="T507">
        <v>9.75</v>
      </c>
      <c r="U507">
        <v>3</v>
      </c>
      <c r="V507">
        <v>5.5</v>
      </c>
      <c r="W507">
        <v>9.1875</v>
      </c>
      <c r="X507">
        <v>43</v>
      </c>
      <c r="Y507">
        <v>6.95</v>
      </c>
      <c r="Z507">
        <v>10.9</v>
      </c>
    </row>
    <row r="508" spans="1:26" ht="12.75">
      <c r="A508" s="7"/>
      <c r="B508" s="7"/>
      <c r="C508" s="7"/>
      <c r="D508" s="7"/>
      <c r="E508" s="7"/>
      <c r="F508" s="7"/>
      <c r="G508" s="7"/>
      <c r="J508">
        <f>(J500*J501/(J502+(J503*J506/2)))*(J504/J505)^2</f>
        <v>2874116.1036849711</v>
      </c>
      <c r="M508" s="21" t="s">
        <v>45</v>
      </c>
      <c r="N508">
        <v>630</v>
      </c>
      <c r="O508">
        <v>23.114999999999998</v>
      </c>
      <c r="P508">
        <v>6.59</v>
      </c>
      <c r="Q508">
        <v>20.786000000000001</v>
      </c>
      <c r="R508">
        <v>1.776</v>
      </c>
      <c r="S508">
        <v>22.422000000000001</v>
      </c>
      <c r="T508">
        <v>9.75</v>
      </c>
      <c r="U508">
        <v>3</v>
      </c>
      <c r="V508">
        <v>5.5</v>
      </c>
      <c r="W508">
        <v>9.1875</v>
      </c>
      <c r="X508">
        <v>43</v>
      </c>
      <c r="Y508">
        <v>6.95</v>
      </c>
      <c r="Z508">
        <v>10.9</v>
      </c>
    </row>
    <row r="509" spans="1:26" ht="12.75">
      <c r="A509" s="12">
        <f>(J508)</f>
        <v>2874116.1036849711</v>
      </c>
      <c r="B509" s="3" t="s">
        <v>46</v>
      </c>
      <c r="C509" s="7"/>
      <c r="D509" s="7"/>
      <c r="E509" s="7"/>
      <c r="F509" s="7"/>
      <c r="G509" s="7"/>
      <c r="M509" s="21" t="s">
        <v>47</v>
      </c>
      <c r="N509">
        <v>630</v>
      </c>
      <c r="O509">
        <v>23.114999999999998</v>
      </c>
      <c r="P509">
        <v>8.5050000000000008</v>
      </c>
      <c r="Q509">
        <v>25.532</v>
      </c>
      <c r="R509">
        <v>1.7330000000000001</v>
      </c>
      <c r="S509">
        <v>28.94</v>
      </c>
      <c r="T509">
        <v>9.75</v>
      </c>
      <c r="U509">
        <v>3</v>
      </c>
      <c r="V509">
        <v>5.5</v>
      </c>
      <c r="W509">
        <v>9.1875</v>
      </c>
      <c r="X509">
        <v>43</v>
      </c>
      <c r="Y509">
        <v>6.95</v>
      </c>
      <c r="Z509">
        <v>10.9</v>
      </c>
    </row>
    <row r="510" spans="1:26" ht="12.75">
      <c r="A510" s="12">
        <f>(J514)</f>
        <v>0</v>
      </c>
      <c r="B510" s="3" t="s">
        <v>48</v>
      </c>
      <c r="C510" s="7"/>
      <c r="D510" s="7"/>
      <c r="E510" s="7"/>
      <c r="F510" s="7"/>
      <c r="G510" s="7"/>
      <c r="J510" s="4" t="s">
        <v>49</v>
      </c>
      <c r="M510" s="22" t="s">
        <v>50</v>
      </c>
      <c r="N510" s="13">
        <v>234</v>
      </c>
      <c r="O510" s="13">
        <v>23.114999999999998</v>
      </c>
      <c r="P510" s="13">
        <v>10.148999999999999</v>
      </c>
      <c r="Q510" s="13">
        <v>29.140999999999998</v>
      </c>
      <c r="R510" s="13">
        <v>1.694</v>
      </c>
      <c r="S510" s="13">
        <v>34.436</v>
      </c>
      <c r="T510" s="13">
        <v>9.75</v>
      </c>
      <c r="U510" s="13">
        <v>3</v>
      </c>
      <c r="V510" s="13">
        <v>5.5</v>
      </c>
      <c r="W510" s="13">
        <v>9.1875</v>
      </c>
      <c r="X510" s="13">
        <v>43</v>
      </c>
      <c r="Y510" s="13">
        <v>6.95</v>
      </c>
      <c r="Z510" s="13">
        <v>10.9</v>
      </c>
    </row>
    <row r="511" spans="1:26" ht="12.75">
      <c r="A511" s="11">
        <f>'Estimating Form'!$D$18/12+O957</f>
        <v>1.7760416666666667</v>
      </c>
      <c r="B511" s="3" t="s">
        <v>957</v>
      </c>
      <c r="J511">
        <f>VLOOKUP(A502,M499:Z529,IF(A507=1,13,12)+1,FALSE)</f>
        <v>3</v>
      </c>
      <c r="K511" s="4" t="s">
        <v>51</v>
      </c>
      <c r="M511" s="21" t="s">
        <v>27</v>
      </c>
      <c r="N511">
        <v>630</v>
      </c>
      <c r="O511">
        <v>33.03</v>
      </c>
      <c r="P511">
        <v>5.9219999999999997</v>
      </c>
      <c r="Q511">
        <v>28.338999999999999</v>
      </c>
      <c r="R511">
        <v>2.1880000000000002</v>
      </c>
      <c r="S511">
        <v>20.149999999999999</v>
      </c>
      <c r="T511">
        <v>9.75</v>
      </c>
      <c r="U511">
        <v>3</v>
      </c>
      <c r="V511">
        <v>5.5</v>
      </c>
      <c r="W511">
        <v>9.1875</v>
      </c>
      <c r="X511">
        <v>43</v>
      </c>
      <c r="Y511">
        <v>3.41</v>
      </c>
      <c r="Z511">
        <v>5.34</v>
      </c>
    </row>
    <row r="512" spans="1:26">
      <c r="A512" s="8"/>
      <c r="B512" s="4"/>
      <c r="J512">
        <f>(A506)</f>
        <v>0</v>
      </c>
      <c r="K512" s="4" t="s">
        <v>52</v>
      </c>
      <c r="M512" s="21" t="s">
        <v>53</v>
      </c>
      <c r="N512">
        <v>630</v>
      </c>
      <c r="O512">
        <v>33.03</v>
      </c>
      <c r="P512">
        <v>9.2799999999999994</v>
      </c>
      <c r="Q512">
        <v>41.933</v>
      </c>
      <c r="R512">
        <v>2.1259999999999999</v>
      </c>
      <c r="S512">
        <v>31.579000000000001</v>
      </c>
      <c r="T512">
        <v>9.75</v>
      </c>
      <c r="U512">
        <v>3</v>
      </c>
      <c r="V512">
        <v>5.5</v>
      </c>
      <c r="W512">
        <v>9.1875</v>
      </c>
      <c r="X512">
        <v>43</v>
      </c>
      <c r="Y512">
        <v>3.41</v>
      </c>
      <c r="Z512">
        <v>5.34</v>
      </c>
    </row>
    <row r="513" spans="1:26">
      <c r="A513" s="8"/>
      <c r="B513" s="9"/>
      <c r="M513" s="21" t="s">
        <v>54</v>
      </c>
      <c r="N513">
        <v>630</v>
      </c>
      <c r="O513">
        <v>33.03</v>
      </c>
      <c r="P513">
        <v>11.898999999999999</v>
      </c>
      <c r="Q513">
        <v>51.284999999999997</v>
      </c>
      <c r="R513">
        <v>2.0760000000000001</v>
      </c>
      <c r="S513">
        <v>40.488999999999997</v>
      </c>
      <c r="T513">
        <v>9.75</v>
      </c>
      <c r="U513">
        <v>3</v>
      </c>
      <c r="V513">
        <v>5.5</v>
      </c>
      <c r="W513">
        <v>9.1875</v>
      </c>
      <c r="X513">
        <v>43</v>
      </c>
      <c r="Y513">
        <v>3.41</v>
      </c>
      <c r="Z513">
        <v>5.34</v>
      </c>
    </row>
    <row r="514" spans="1:26">
      <c r="A514" s="8"/>
      <c r="B514" s="9"/>
      <c r="J514">
        <f>(J511*(J506+4)*J512*10^-6)</f>
        <v>0</v>
      </c>
      <c r="M514" s="22" t="s">
        <v>55</v>
      </c>
      <c r="N514" s="13">
        <v>630</v>
      </c>
      <c r="O514" s="13">
        <v>33.03</v>
      </c>
      <c r="P514" s="13">
        <v>14.196</v>
      </c>
      <c r="Q514" s="13">
        <v>58.588999999999999</v>
      </c>
      <c r="R514" s="13">
        <v>2.032</v>
      </c>
      <c r="S514" s="13">
        <v>48.304000000000002</v>
      </c>
      <c r="T514" s="13">
        <v>9.75</v>
      </c>
      <c r="U514" s="13">
        <v>3</v>
      </c>
      <c r="V514" s="13">
        <v>5.5</v>
      </c>
      <c r="W514" s="13">
        <v>9.1875</v>
      </c>
      <c r="X514" s="13">
        <v>43</v>
      </c>
      <c r="Y514" s="13">
        <v>3.41</v>
      </c>
      <c r="Z514" s="13">
        <v>5.34</v>
      </c>
    </row>
    <row r="515" spans="1:26">
      <c r="A515" s="8"/>
      <c r="M515" s="21" t="s">
        <v>56</v>
      </c>
      <c r="N515">
        <v>630</v>
      </c>
      <c r="O515">
        <v>44.031999999999996</v>
      </c>
      <c r="P515">
        <v>8.109</v>
      </c>
      <c r="Q515">
        <v>51.593000000000004</v>
      </c>
      <c r="R515">
        <v>2.5219999999999998</v>
      </c>
      <c r="S515">
        <v>27.591999999999999</v>
      </c>
      <c r="T515">
        <v>10.9375</v>
      </c>
      <c r="U515">
        <v>2.5</v>
      </c>
      <c r="V515">
        <v>6</v>
      </c>
      <c r="W515">
        <v>9.9375</v>
      </c>
      <c r="X515">
        <v>61</v>
      </c>
      <c r="Y515">
        <v>3</v>
      </c>
      <c r="Z515">
        <v>4.29</v>
      </c>
    </row>
    <row r="516" spans="1:26">
      <c r="A516" s="8"/>
      <c r="B516" s="9"/>
      <c r="M516" s="21" t="s">
        <v>57</v>
      </c>
      <c r="N516">
        <v>630</v>
      </c>
      <c r="O516">
        <v>44.031999999999996</v>
      </c>
      <c r="P516">
        <v>9.4350000000000005</v>
      </c>
      <c r="Q516">
        <v>59.033999999999999</v>
      </c>
      <c r="R516">
        <v>2.5009999999999999</v>
      </c>
      <c r="S516">
        <v>32.103999999999999</v>
      </c>
      <c r="T516">
        <v>10.9375</v>
      </c>
      <c r="U516">
        <v>2.5</v>
      </c>
      <c r="V516">
        <v>6</v>
      </c>
      <c r="W516">
        <v>9.9375</v>
      </c>
      <c r="X516">
        <v>61</v>
      </c>
      <c r="Y516">
        <v>3</v>
      </c>
      <c r="Z516">
        <v>4.29</v>
      </c>
    </row>
    <row r="517" spans="1:26" ht="15.75">
      <c r="A517" s="37"/>
      <c r="B517" s="97"/>
      <c r="C517" s="515" t="s">
        <v>93</v>
      </c>
      <c r="D517" s="515"/>
      <c r="E517" s="40">
        <f>(B518-A506)/(O517)-(0.39*A503)</f>
        <v>0.29533671534338668</v>
      </c>
      <c r="M517" s="23" t="s">
        <v>59</v>
      </c>
      <c r="N517">
        <v>630</v>
      </c>
      <c r="O517">
        <v>44.031999999999996</v>
      </c>
      <c r="P517">
        <v>14.49</v>
      </c>
      <c r="Q517">
        <v>84.834000000000003</v>
      </c>
      <c r="R517">
        <v>2.42</v>
      </c>
      <c r="S517">
        <v>49.305</v>
      </c>
      <c r="T517">
        <v>10.9375</v>
      </c>
      <c r="U517">
        <v>2.5</v>
      </c>
      <c r="V517">
        <v>6</v>
      </c>
      <c r="W517">
        <v>9.9375</v>
      </c>
      <c r="X517">
        <v>61</v>
      </c>
      <c r="Y517">
        <v>3</v>
      </c>
      <c r="Z517">
        <v>4.29</v>
      </c>
    </row>
    <row r="518" spans="1:26" ht="15.75">
      <c r="A518" s="37" t="s">
        <v>98</v>
      </c>
      <c r="B518" s="41">
        <f>A505+B522</f>
        <v>35.900906249999998</v>
      </c>
      <c r="C518" s="516" t="s">
        <v>99</v>
      </c>
      <c r="D518" s="516"/>
      <c r="E518" s="42">
        <f>((B518/(O517))*1.1)</f>
        <v>0.89687038687772547</v>
      </c>
      <c r="M518" s="24" t="s">
        <v>58</v>
      </c>
      <c r="N518" s="13">
        <v>630</v>
      </c>
      <c r="O518" s="13">
        <v>44.031999999999996</v>
      </c>
      <c r="P518" s="13">
        <v>19.181000000000001</v>
      </c>
      <c r="Q518" s="13">
        <v>105.14</v>
      </c>
      <c r="R518" s="13">
        <v>2.3410000000000002</v>
      </c>
      <c r="S518" s="13">
        <v>65.268000000000001</v>
      </c>
      <c r="T518" s="13">
        <v>10.9375</v>
      </c>
      <c r="U518" s="13">
        <v>2.5</v>
      </c>
      <c r="V518" s="13">
        <v>6</v>
      </c>
      <c r="W518" s="13">
        <v>9.9375</v>
      </c>
      <c r="X518" s="13">
        <v>61</v>
      </c>
      <c r="Y518" s="13">
        <v>3</v>
      </c>
      <c r="Z518" s="13">
        <v>4.29</v>
      </c>
    </row>
    <row r="519" spans="1:26" ht="15">
      <c r="A519" s="37"/>
      <c r="B519" s="38"/>
      <c r="C519" s="517" t="s">
        <v>106</v>
      </c>
      <c r="D519" s="514" t="str">
        <f>IF(E517&gt;90,"Good!","Too Low, increase GLOPU or decrease jack diameter, if above 50 use ASK ENGINEERING")</f>
        <v>Too Low, increase GLOPU or decrease jack diameter, if above 50 use ASK ENGINEERING</v>
      </c>
      <c r="E519" s="514"/>
      <c r="F519" s="10"/>
      <c r="M519" s="21" t="s">
        <v>60</v>
      </c>
      <c r="N519">
        <v>630</v>
      </c>
      <c r="O519">
        <v>56.578000000000003</v>
      </c>
      <c r="P519">
        <v>9.2829999999999995</v>
      </c>
      <c r="Q519">
        <v>76.736999999999995</v>
      </c>
      <c r="R519">
        <v>2.875</v>
      </c>
      <c r="S519">
        <v>31.588999999999999</v>
      </c>
      <c r="T519">
        <v>10.9375</v>
      </c>
      <c r="U519">
        <v>2.5</v>
      </c>
      <c r="V519">
        <v>6</v>
      </c>
      <c r="W519">
        <v>9.9375</v>
      </c>
      <c r="X519">
        <v>61</v>
      </c>
      <c r="Y519">
        <v>1.82</v>
      </c>
      <c r="Z519">
        <v>2.6</v>
      </c>
    </row>
    <row r="520" spans="1:26" ht="15.75" thickBot="1">
      <c r="A520" s="37"/>
      <c r="B520" s="44"/>
      <c r="C520" s="518"/>
      <c r="D520" s="519"/>
      <c r="E520" s="519"/>
      <c r="M520" s="21" t="s">
        <v>61</v>
      </c>
      <c r="N520">
        <v>630</v>
      </c>
      <c r="O520">
        <v>56.578000000000003</v>
      </c>
      <c r="P520">
        <v>10.734999999999999</v>
      </c>
      <c r="Q520">
        <v>87.494</v>
      </c>
      <c r="R520">
        <v>2.855</v>
      </c>
      <c r="S520">
        <v>36.527999999999999</v>
      </c>
      <c r="T520">
        <v>10.9375</v>
      </c>
      <c r="U520">
        <v>2.5</v>
      </c>
      <c r="V520">
        <v>6</v>
      </c>
      <c r="W520">
        <v>9.9375</v>
      </c>
      <c r="X520">
        <v>61</v>
      </c>
      <c r="Y520">
        <v>1.82</v>
      </c>
      <c r="Z520">
        <v>2.6</v>
      </c>
    </row>
    <row r="521" spans="1:26" ht="15">
      <c r="A521" s="37"/>
      <c r="B521" s="39"/>
      <c r="C521" s="512" t="s">
        <v>118</v>
      </c>
      <c r="D521" s="514" t="str">
        <f>IF(E518&gt;500,"Too High, reduce GLOPU or increase plunger diameter","Good!")</f>
        <v>Good!</v>
      </c>
      <c r="E521" s="514"/>
      <c r="M521" s="24" t="s">
        <v>70</v>
      </c>
      <c r="N521" s="13">
        <v>630</v>
      </c>
      <c r="O521" s="13">
        <v>56.578000000000003</v>
      </c>
      <c r="P521" s="13">
        <v>15.885999999999999</v>
      </c>
      <c r="Q521" s="13">
        <v>122.965</v>
      </c>
      <c r="R521" s="13">
        <v>2.782</v>
      </c>
      <c r="S521" s="13">
        <v>54.055</v>
      </c>
      <c r="T521" s="13">
        <v>10.9375</v>
      </c>
      <c r="U521" s="13">
        <v>2.5</v>
      </c>
      <c r="V521" s="13">
        <v>6</v>
      </c>
      <c r="W521" s="13">
        <v>9.9375</v>
      </c>
      <c r="X521" s="13">
        <v>61</v>
      </c>
      <c r="Y521" s="13">
        <v>1.82</v>
      </c>
      <c r="Z521" s="13">
        <v>2.6</v>
      </c>
    </row>
    <row r="522" spans="1:26" ht="15">
      <c r="A522" s="46" t="s">
        <v>122</v>
      </c>
      <c r="B522" s="96">
        <f>S503*A511</f>
        <v>35.900906249999998</v>
      </c>
      <c r="C522" s="513"/>
      <c r="D522" s="514"/>
      <c r="E522" s="514"/>
      <c r="M522" s="21" t="s">
        <v>62</v>
      </c>
      <c r="N522">
        <v>537</v>
      </c>
      <c r="O522">
        <v>70.695999999999998</v>
      </c>
      <c r="P522">
        <v>12.27</v>
      </c>
      <c r="Q522">
        <v>126.072</v>
      </c>
      <c r="R522">
        <v>3.2050000000000001</v>
      </c>
      <c r="S522">
        <v>41.75</v>
      </c>
      <c r="T522">
        <v>14.375</v>
      </c>
      <c r="U522">
        <v>2.5</v>
      </c>
      <c r="V522">
        <v>6</v>
      </c>
      <c r="W522">
        <v>12.9375</v>
      </c>
      <c r="X522">
        <v>80</v>
      </c>
      <c r="Y522">
        <v>1.66</v>
      </c>
      <c r="Z522">
        <v>2.62</v>
      </c>
    </row>
    <row r="523" spans="1:26">
      <c r="E523" s="10"/>
      <c r="F523" s="10"/>
      <c r="M523" s="22" t="s">
        <v>63</v>
      </c>
      <c r="N523" s="13">
        <v>537</v>
      </c>
      <c r="O523" s="13">
        <v>70.695999999999998</v>
      </c>
      <c r="P523" s="13">
        <v>18.847000000000001</v>
      </c>
      <c r="Q523" s="13">
        <v>183.79400000000001</v>
      </c>
      <c r="R523" s="13">
        <v>3.1230000000000002</v>
      </c>
      <c r="S523" s="13">
        <v>64.132000000000005</v>
      </c>
      <c r="T523" s="13">
        <v>14.375</v>
      </c>
      <c r="U523" s="13">
        <v>2.5</v>
      </c>
      <c r="V523" s="13">
        <v>6</v>
      </c>
      <c r="W523" s="13">
        <v>12.9375</v>
      </c>
      <c r="X523" s="13">
        <v>80</v>
      </c>
      <c r="Y523" s="13">
        <v>1.66</v>
      </c>
      <c r="Z523" s="13">
        <v>2.62</v>
      </c>
    </row>
    <row r="524" spans="1:26">
      <c r="A524" s="8"/>
      <c r="B524" s="9"/>
      <c r="M524" s="21" t="s">
        <v>64</v>
      </c>
      <c r="N524">
        <v>537</v>
      </c>
      <c r="O524">
        <v>88.456000000000003</v>
      </c>
      <c r="P524">
        <v>13.656000000000001</v>
      </c>
      <c r="Q524">
        <v>177.40799999999999</v>
      </c>
      <c r="R524">
        <v>3.6040000000000001</v>
      </c>
      <c r="S524">
        <v>46.466999999999999</v>
      </c>
      <c r="T524">
        <v>14.375</v>
      </c>
      <c r="U524">
        <v>2.5</v>
      </c>
      <c r="V524">
        <v>6</v>
      </c>
      <c r="W524">
        <v>13.3125</v>
      </c>
      <c r="X524">
        <v>80</v>
      </c>
      <c r="Y524">
        <v>1.06</v>
      </c>
      <c r="Z524">
        <v>1.67</v>
      </c>
    </row>
    <row r="525" spans="1:26">
      <c r="B525" s="9"/>
      <c r="M525" s="21" t="s">
        <v>65</v>
      </c>
      <c r="N525">
        <v>537</v>
      </c>
      <c r="O525">
        <v>88.456000000000003</v>
      </c>
      <c r="P525">
        <v>16.48</v>
      </c>
      <c r="Q525">
        <v>210.39400000000001</v>
      </c>
      <c r="R525">
        <v>3.573</v>
      </c>
      <c r="S525">
        <v>56.076999999999998</v>
      </c>
      <c r="T525">
        <v>14.375</v>
      </c>
      <c r="U525">
        <v>2.5</v>
      </c>
      <c r="V525">
        <v>6</v>
      </c>
      <c r="W525">
        <v>13.3125</v>
      </c>
      <c r="X525">
        <v>80</v>
      </c>
      <c r="Y525">
        <v>1.06</v>
      </c>
      <c r="Z525">
        <v>1.67</v>
      </c>
    </row>
    <row r="526" spans="1:26">
      <c r="B526" s="9"/>
      <c r="M526" s="22" t="s">
        <v>66</v>
      </c>
      <c r="N526" s="13">
        <v>537</v>
      </c>
      <c r="O526" s="13">
        <v>88.456000000000003</v>
      </c>
      <c r="P526" s="13">
        <v>20.350999999999999</v>
      </c>
      <c r="Q526" s="13">
        <v>253.547</v>
      </c>
      <c r="R526" s="13">
        <v>3.53</v>
      </c>
      <c r="S526" s="13">
        <v>69.248999999999995</v>
      </c>
      <c r="T526" s="13">
        <v>14.375</v>
      </c>
      <c r="U526" s="13">
        <v>2.5</v>
      </c>
      <c r="V526" s="13">
        <v>6</v>
      </c>
      <c r="W526" s="13">
        <v>13.3125</v>
      </c>
      <c r="X526" s="13">
        <v>80</v>
      </c>
      <c r="Y526" s="13">
        <v>1.06</v>
      </c>
      <c r="Z526" s="13">
        <v>1.67</v>
      </c>
    </row>
    <row r="527" spans="1:26">
      <c r="M527" s="21" t="s">
        <v>67</v>
      </c>
      <c r="N527">
        <v>449</v>
      </c>
      <c r="O527">
        <v>124.937</v>
      </c>
      <c r="P527">
        <v>16.503</v>
      </c>
      <c r="Q527">
        <v>306.48500000000001</v>
      </c>
      <c r="R527">
        <v>4.3090000000000002</v>
      </c>
      <c r="S527">
        <v>56.155999999999999</v>
      </c>
      <c r="T527">
        <v>0</v>
      </c>
      <c r="U527">
        <v>2.5</v>
      </c>
      <c r="V527">
        <v>6</v>
      </c>
      <c r="W527">
        <v>15.3125</v>
      </c>
      <c r="X527">
        <v>125</v>
      </c>
      <c r="Y527">
        <v>0.83899999999999997</v>
      </c>
      <c r="Z527">
        <v>0</v>
      </c>
    </row>
    <row r="528" spans="1:26">
      <c r="M528" s="22" t="s">
        <v>68</v>
      </c>
      <c r="N528" s="13">
        <v>449</v>
      </c>
      <c r="O528" s="13">
        <v>124.937</v>
      </c>
      <c r="P528" s="13">
        <v>18.78</v>
      </c>
      <c r="Q528" s="13">
        <v>345.36099999999999</v>
      </c>
      <c r="R528" s="13">
        <v>4.2880000000000003</v>
      </c>
      <c r="S528" s="13">
        <v>63.902999999999999</v>
      </c>
      <c r="T528" s="13">
        <v>0</v>
      </c>
      <c r="U528" s="13">
        <v>2.5</v>
      </c>
      <c r="V528" s="13">
        <v>6</v>
      </c>
      <c r="W528" s="13">
        <v>15.3125</v>
      </c>
      <c r="X528" s="13">
        <v>125</v>
      </c>
      <c r="Y528" s="13">
        <v>0.83899999999999997</v>
      </c>
      <c r="Z528" s="13">
        <v>0</v>
      </c>
    </row>
    <row r="529" spans="1:26">
      <c r="M529" s="22" t="s">
        <v>69</v>
      </c>
      <c r="N529" s="14">
        <v>449</v>
      </c>
      <c r="O529" s="14">
        <v>194.51900000000001</v>
      </c>
      <c r="P529" s="14">
        <v>25.079000000000001</v>
      </c>
      <c r="Q529" s="14">
        <v>726.36</v>
      </c>
      <c r="R529" s="14">
        <v>5.3819999999999997</v>
      </c>
      <c r="S529" s="14">
        <v>85.337000000000003</v>
      </c>
      <c r="T529" s="14">
        <v>0</v>
      </c>
      <c r="U529" s="14">
        <v>6</v>
      </c>
      <c r="V529" s="14">
        <v>6</v>
      </c>
      <c r="W529" s="14">
        <v>15.375</v>
      </c>
      <c r="X529" s="14">
        <v>192</v>
      </c>
      <c r="Y529" s="14">
        <v>0.54300000000000004</v>
      </c>
      <c r="Z529" s="14">
        <v>0</v>
      </c>
    </row>
    <row r="532" spans="1:26" ht="12.75">
      <c r="A532" s="3"/>
      <c r="B532" s="15"/>
      <c r="C532" s="16"/>
      <c r="D532" s="16"/>
      <c r="E532" s="16"/>
      <c r="F532" s="16"/>
      <c r="G532" s="20"/>
      <c r="H532" s="4" t="s">
        <v>1</v>
      </c>
      <c r="J532" s="4" t="s">
        <v>2</v>
      </c>
      <c r="M532" s="4" t="s">
        <v>3</v>
      </c>
    </row>
    <row r="533" spans="1:26" ht="12.75">
      <c r="A533" s="1"/>
      <c r="B533" s="1"/>
      <c r="C533" s="1"/>
      <c r="D533" s="1"/>
      <c r="E533" s="1"/>
      <c r="F533" s="1"/>
      <c r="G533" s="1"/>
      <c r="J533" s="5">
        <f>2.85*10^8</f>
        <v>285000000</v>
      </c>
      <c r="K533" s="4" t="s">
        <v>4</v>
      </c>
      <c r="N533" s="4" t="s">
        <v>5</v>
      </c>
      <c r="O533" s="6" t="s">
        <v>6</v>
      </c>
      <c r="P533" s="6" t="s">
        <v>7</v>
      </c>
      <c r="Q533" s="6" t="s">
        <v>8</v>
      </c>
      <c r="R533" s="6" t="s">
        <v>9</v>
      </c>
      <c r="S533" s="6" t="s">
        <v>10</v>
      </c>
      <c r="T533" s="6" t="s">
        <v>11</v>
      </c>
      <c r="U533" s="6" t="s">
        <v>11</v>
      </c>
      <c r="V533" s="6" t="s">
        <v>11</v>
      </c>
      <c r="W533" s="6" t="s">
        <v>11</v>
      </c>
      <c r="X533" s="6" t="s">
        <v>12</v>
      </c>
      <c r="Y533" s="520" t="s">
        <v>13</v>
      </c>
      <c r="Z533" s="520"/>
    </row>
    <row r="534" spans="1:26" ht="12.75">
      <c r="A534" s="1"/>
      <c r="B534" s="1"/>
      <c r="C534" s="1"/>
      <c r="D534" s="1"/>
      <c r="E534" s="1"/>
      <c r="F534" s="1"/>
      <c r="G534" s="1"/>
      <c r="J534">
        <f>VLOOKUP(A535,M532:Z562,4,FALSE)</f>
        <v>19.181000000000001</v>
      </c>
      <c r="K534" s="4" t="s">
        <v>14</v>
      </c>
      <c r="M534" s="4" t="s">
        <v>15</v>
      </c>
      <c r="N534" s="4" t="s">
        <v>16</v>
      </c>
      <c r="O534" s="6" t="s">
        <v>17</v>
      </c>
      <c r="P534" s="6" t="s">
        <v>17</v>
      </c>
      <c r="Q534" s="6" t="s">
        <v>18</v>
      </c>
      <c r="R534" s="6" t="s">
        <v>19</v>
      </c>
      <c r="S534" s="6" t="s">
        <v>20</v>
      </c>
      <c r="T534" s="6" t="s">
        <v>21</v>
      </c>
      <c r="U534" s="6" t="s">
        <v>22</v>
      </c>
      <c r="V534" s="6" t="s">
        <v>23</v>
      </c>
      <c r="W534" s="6" t="s">
        <v>24</v>
      </c>
      <c r="Y534" s="6" t="s">
        <v>25</v>
      </c>
      <c r="Z534" s="4" t="s">
        <v>26</v>
      </c>
    </row>
    <row r="535" spans="1:26" ht="12.75">
      <c r="A535" s="11" t="s">
        <v>58</v>
      </c>
      <c r="B535" s="3" t="s">
        <v>28</v>
      </c>
      <c r="C535" s="7"/>
      <c r="D535" s="7"/>
      <c r="E535" s="7"/>
      <c r="F535" s="7"/>
      <c r="G535" s="3" t="s">
        <v>1</v>
      </c>
      <c r="J535">
        <f>(A538)</f>
        <v>0</v>
      </c>
      <c r="K535" s="4" t="s">
        <v>29</v>
      </c>
      <c r="M535" s="21" t="s">
        <v>30</v>
      </c>
      <c r="N535">
        <v>492</v>
      </c>
      <c r="O535">
        <v>11.781000000000001</v>
      </c>
      <c r="P535">
        <v>2.8980000000000001</v>
      </c>
      <c r="Q535">
        <v>4.766</v>
      </c>
      <c r="R535">
        <v>1.282</v>
      </c>
      <c r="S535">
        <v>9.8620000000000001</v>
      </c>
      <c r="T535">
        <v>0</v>
      </c>
      <c r="U535">
        <v>3</v>
      </c>
      <c r="V535">
        <v>6.75</v>
      </c>
      <c r="W535">
        <v>9.375</v>
      </c>
      <c r="X535">
        <v>22</v>
      </c>
      <c r="Y535">
        <v>10.47</v>
      </c>
      <c r="Z535">
        <v>0</v>
      </c>
    </row>
    <row r="536" spans="1:26" ht="12.75">
      <c r="A536" s="319">
        <f>'Estimating Form'!$D$18/12+O956</f>
        <v>1.3333333333333333</v>
      </c>
      <c r="B536" s="3" t="s">
        <v>31</v>
      </c>
      <c r="C536" s="7"/>
      <c r="D536" s="7"/>
      <c r="E536" s="7"/>
      <c r="F536" s="7"/>
      <c r="G536" s="7"/>
      <c r="J536">
        <f>VLOOKUP(A535,M532:Z563,7,FALSE)</f>
        <v>65.268000000000001</v>
      </c>
      <c r="K536" s="4" t="s">
        <v>32</v>
      </c>
      <c r="M536" s="22" t="s">
        <v>33</v>
      </c>
      <c r="N536" s="13">
        <v>492</v>
      </c>
      <c r="O536" s="13">
        <v>11.781000000000001</v>
      </c>
      <c r="P536" s="13">
        <v>5.94</v>
      </c>
      <c r="Q536" s="13">
        <v>8.33</v>
      </c>
      <c r="R536" s="13">
        <v>1.1839999999999999</v>
      </c>
      <c r="S536" s="13">
        <v>20.213999999999999</v>
      </c>
      <c r="T536" s="13">
        <v>0</v>
      </c>
      <c r="U536" s="13">
        <v>3</v>
      </c>
      <c r="V536" s="13">
        <v>6.75</v>
      </c>
      <c r="W536" s="13">
        <v>9.375</v>
      </c>
      <c r="X536" s="13">
        <v>22</v>
      </c>
      <c r="Y536" s="13">
        <v>10.47</v>
      </c>
      <c r="Z536" s="13">
        <v>0</v>
      </c>
    </row>
    <row r="537" spans="1:26" ht="12.75">
      <c r="A537" s="11">
        <v>0</v>
      </c>
      <c r="B537" s="3" t="s">
        <v>34</v>
      </c>
      <c r="C537" s="7"/>
      <c r="D537" s="7"/>
      <c r="E537" s="7"/>
      <c r="F537" s="7"/>
      <c r="G537" s="7"/>
      <c r="J537">
        <f>VLOOKUP(A535,M532:Z562,6,FALSE)</f>
        <v>2.3410000000000002</v>
      </c>
      <c r="K537" s="4" t="s">
        <v>35</v>
      </c>
      <c r="M537" s="21" t="s">
        <v>36</v>
      </c>
      <c r="N537">
        <v>594</v>
      </c>
      <c r="O537">
        <v>14.93</v>
      </c>
      <c r="P537">
        <v>3.3490000000000002</v>
      </c>
      <c r="Q537">
        <v>7.0650000000000004</v>
      </c>
      <c r="R537">
        <v>1.452</v>
      </c>
      <c r="S537">
        <v>11.396000000000001</v>
      </c>
      <c r="T537">
        <v>9.3125</v>
      </c>
      <c r="U537">
        <v>3</v>
      </c>
      <c r="V537">
        <v>5.5</v>
      </c>
      <c r="W537">
        <v>8.8125</v>
      </c>
      <c r="X537">
        <v>29</v>
      </c>
      <c r="Y537">
        <v>9.52</v>
      </c>
      <c r="Z537">
        <v>16.670000000000002</v>
      </c>
    </row>
    <row r="538" spans="1:26" ht="12.75">
      <c r="A538" s="11">
        <f>'Estimating Form'!$G$22</f>
        <v>0</v>
      </c>
      <c r="B538" s="3" t="s">
        <v>37</v>
      </c>
      <c r="C538" s="7"/>
      <c r="D538" s="7"/>
      <c r="E538" s="7"/>
      <c r="F538" s="7"/>
      <c r="G538" s="7"/>
      <c r="J538">
        <f>(A536*12+A537)</f>
        <v>16</v>
      </c>
      <c r="K538" s="4" t="s">
        <v>38</v>
      </c>
      <c r="M538" s="21" t="s">
        <v>39</v>
      </c>
      <c r="N538">
        <v>594</v>
      </c>
      <c r="O538">
        <v>14.93</v>
      </c>
      <c r="P538">
        <v>5.5170000000000003</v>
      </c>
      <c r="Q538">
        <v>10.686999999999999</v>
      </c>
      <c r="R538">
        <v>1.3919999999999999</v>
      </c>
      <c r="S538">
        <v>18.771999999999998</v>
      </c>
      <c r="T538">
        <v>9.3125</v>
      </c>
      <c r="U538">
        <v>3</v>
      </c>
      <c r="V538">
        <v>5.5</v>
      </c>
      <c r="W538">
        <v>8.8125</v>
      </c>
      <c r="X538">
        <v>29</v>
      </c>
      <c r="Y538">
        <v>9.52</v>
      </c>
      <c r="Z538">
        <v>16.670000000000002</v>
      </c>
    </row>
    <row r="539" spans="1:26" ht="12.75">
      <c r="A539" s="11">
        <f>'Estimating Form'!$D$20</f>
        <v>0</v>
      </c>
      <c r="B539" s="3" t="s">
        <v>40</v>
      </c>
      <c r="C539" s="7"/>
      <c r="D539" s="7"/>
      <c r="E539" s="7"/>
      <c r="F539" s="7"/>
      <c r="G539" s="7"/>
      <c r="J539">
        <f>(A536+A537/12)</f>
        <v>1.3333333333333333</v>
      </c>
      <c r="K539" s="4" t="s">
        <v>41</v>
      </c>
      <c r="M539" s="22" t="s">
        <v>42</v>
      </c>
      <c r="N539" s="13">
        <v>594</v>
      </c>
      <c r="O539" s="13">
        <v>14.93</v>
      </c>
      <c r="P539" s="13">
        <v>7.1269999999999998</v>
      </c>
      <c r="Q539" s="13">
        <v>12.893000000000001</v>
      </c>
      <c r="R539" s="13">
        <v>1.345</v>
      </c>
      <c r="S539" s="13">
        <v>24.251999999999999</v>
      </c>
      <c r="T539" s="13">
        <v>9.3125</v>
      </c>
      <c r="U539" s="13">
        <v>3</v>
      </c>
      <c r="V539" s="13">
        <v>5.5</v>
      </c>
      <c r="W539" s="13">
        <v>8.8125</v>
      </c>
      <c r="X539" s="13">
        <v>29</v>
      </c>
      <c r="Y539" s="13">
        <v>9.52</v>
      </c>
      <c r="Z539" s="13">
        <v>16.670000000000002</v>
      </c>
    </row>
    <row r="540" spans="1:26" ht="12.75">
      <c r="A540" s="11">
        <v>0</v>
      </c>
      <c r="B540" s="3" t="s">
        <v>43</v>
      </c>
      <c r="C540" s="7"/>
      <c r="D540" s="7"/>
      <c r="E540" s="7"/>
      <c r="F540" s="7"/>
      <c r="G540" s="7"/>
      <c r="M540" s="21" t="s">
        <v>44</v>
      </c>
      <c r="N540">
        <v>630</v>
      </c>
      <c r="O540">
        <v>23.114999999999998</v>
      </c>
      <c r="P540">
        <v>4.8</v>
      </c>
      <c r="Q540">
        <v>15.824999999999999</v>
      </c>
      <c r="R540">
        <v>1.8160000000000001</v>
      </c>
      <c r="S540">
        <v>16.332999999999998</v>
      </c>
      <c r="T540">
        <v>9.75</v>
      </c>
      <c r="U540">
        <v>3</v>
      </c>
      <c r="V540">
        <v>5.5</v>
      </c>
      <c r="W540">
        <v>9.1875</v>
      </c>
      <c r="X540">
        <v>43</v>
      </c>
      <c r="Y540">
        <v>6.95</v>
      </c>
      <c r="Z540">
        <v>10.9</v>
      </c>
    </row>
    <row r="541" spans="1:26" ht="12.75">
      <c r="A541" s="7"/>
      <c r="B541" s="7"/>
      <c r="C541" s="7"/>
      <c r="D541" s="7"/>
      <c r="E541" s="7"/>
      <c r="F541" s="7"/>
      <c r="G541" s="7"/>
      <c r="J541">
        <f>(J533*J534/(J535+(J536*J539/2)))*(J537/J538)^2</f>
        <v>2689489.9243298727</v>
      </c>
      <c r="M541" s="21" t="s">
        <v>45</v>
      </c>
      <c r="N541">
        <v>630</v>
      </c>
      <c r="O541">
        <v>23.114999999999998</v>
      </c>
      <c r="P541">
        <v>6.59</v>
      </c>
      <c r="Q541">
        <v>20.786000000000001</v>
      </c>
      <c r="R541">
        <v>1.776</v>
      </c>
      <c r="S541">
        <v>22.422000000000001</v>
      </c>
      <c r="T541">
        <v>9.75</v>
      </c>
      <c r="U541">
        <v>3</v>
      </c>
      <c r="V541">
        <v>5.5</v>
      </c>
      <c r="W541">
        <v>9.1875</v>
      </c>
      <c r="X541">
        <v>43</v>
      </c>
      <c r="Y541">
        <v>6.95</v>
      </c>
      <c r="Z541">
        <v>10.9</v>
      </c>
    </row>
    <row r="542" spans="1:26" ht="12.75">
      <c r="A542" s="12">
        <f>(J541)</f>
        <v>2689489.9243298727</v>
      </c>
      <c r="B542" s="3" t="s">
        <v>46</v>
      </c>
      <c r="C542" s="7"/>
      <c r="D542" s="7"/>
      <c r="E542" s="7"/>
      <c r="F542" s="7"/>
      <c r="G542" s="7"/>
      <c r="M542" s="21" t="s">
        <v>47</v>
      </c>
      <c r="N542">
        <v>630</v>
      </c>
      <c r="O542">
        <v>23.114999999999998</v>
      </c>
      <c r="P542">
        <v>8.5050000000000008</v>
      </c>
      <c r="Q542">
        <v>25.532</v>
      </c>
      <c r="R542">
        <v>1.7330000000000001</v>
      </c>
      <c r="S542">
        <v>28.94</v>
      </c>
      <c r="T542">
        <v>9.75</v>
      </c>
      <c r="U542">
        <v>3</v>
      </c>
      <c r="V542">
        <v>5.5</v>
      </c>
      <c r="W542">
        <v>9.1875</v>
      </c>
      <c r="X542">
        <v>43</v>
      </c>
      <c r="Y542">
        <v>6.95</v>
      </c>
      <c r="Z542">
        <v>10.9</v>
      </c>
    </row>
    <row r="543" spans="1:26" ht="12.75">
      <c r="A543" s="12">
        <f>(J547)</f>
        <v>0</v>
      </c>
      <c r="B543" s="3" t="s">
        <v>48</v>
      </c>
      <c r="C543" s="7"/>
      <c r="D543" s="7"/>
      <c r="E543" s="7"/>
      <c r="F543" s="7"/>
      <c r="G543" s="7"/>
      <c r="J543" s="4" t="s">
        <v>49</v>
      </c>
      <c r="M543" s="22" t="s">
        <v>50</v>
      </c>
      <c r="N543" s="13">
        <v>234</v>
      </c>
      <c r="O543" s="13">
        <v>23.114999999999998</v>
      </c>
      <c r="P543" s="13">
        <v>10.148999999999999</v>
      </c>
      <c r="Q543" s="13">
        <v>29.140999999999998</v>
      </c>
      <c r="R543" s="13">
        <v>1.694</v>
      </c>
      <c r="S543" s="13">
        <v>34.436</v>
      </c>
      <c r="T543" s="13">
        <v>9.75</v>
      </c>
      <c r="U543" s="13">
        <v>3</v>
      </c>
      <c r="V543" s="13">
        <v>5.5</v>
      </c>
      <c r="W543" s="13">
        <v>9.1875</v>
      </c>
      <c r="X543" s="13">
        <v>43</v>
      </c>
      <c r="Y543" s="13">
        <v>6.95</v>
      </c>
      <c r="Z543" s="13">
        <v>10.9</v>
      </c>
    </row>
    <row r="544" spans="1:26" ht="12.75">
      <c r="A544" s="11">
        <f>'Estimating Form'!$D$18/12+O957</f>
        <v>1.7760416666666667</v>
      </c>
      <c r="B544" s="3" t="s">
        <v>957</v>
      </c>
      <c r="J544">
        <f>VLOOKUP(A535,M532:Z562,IF(A540=1,13,12)+1,FALSE)</f>
        <v>3</v>
      </c>
      <c r="K544" s="4" t="s">
        <v>51</v>
      </c>
      <c r="M544" s="21" t="s">
        <v>27</v>
      </c>
      <c r="N544">
        <v>630</v>
      </c>
      <c r="O544">
        <v>33.03</v>
      </c>
      <c r="P544">
        <v>5.9219999999999997</v>
      </c>
      <c r="Q544">
        <v>28.338999999999999</v>
      </c>
      <c r="R544">
        <v>2.1880000000000002</v>
      </c>
      <c r="S544">
        <v>20.149999999999999</v>
      </c>
      <c r="T544">
        <v>9.75</v>
      </c>
      <c r="U544">
        <v>3</v>
      </c>
      <c r="V544">
        <v>5.5</v>
      </c>
      <c r="W544">
        <v>9.1875</v>
      </c>
      <c r="X544">
        <v>43</v>
      </c>
      <c r="Y544">
        <v>3.41</v>
      </c>
      <c r="Z544">
        <v>5.34</v>
      </c>
    </row>
    <row r="545" spans="1:26">
      <c r="A545" s="8"/>
      <c r="B545" s="4"/>
      <c r="J545">
        <f>(A539)</f>
        <v>0</v>
      </c>
      <c r="K545" s="4" t="s">
        <v>52</v>
      </c>
      <c r="M545" s="21" t="s">
        <v>53</v>
      </c>
      <c r="N545">
        <v>630</v>
      </c>
      <c r="O545">
        <v>33.03</v>
      </c>
      <c r="P545">
        <v>9.2799999999999994</v>
      </c>
      <c r="Q545">
        <v>41.933</v>
      </c>
      <c r="R545">
        <v>2.1259999999999999</v>
      </c>
      <c r="S545">
        <v>31.579000000000001</v>
      </c>
      <c r="T545">
        <v>9.75</v>
      </c>
      <c r="U545">
        <v>3</v>
      </c>
      <c r="V545">
        <v>5.5</v>
      </c>
      <c r="W545">
        <v>9.1875</v>
      </c>
      <c r="X545">
        <v>43</v>
      </c>
      <c r="Y545">
        <v>3.41</v>
      </c>
      <c r="Z545">
        <v>5.34</v>
      </c>
    </row>
    <row r="546" spans="1:26">
      <c r="A546" s="8"/>
      <c r="B546" s="9"/>
      <c r="M546" s="21" t="s">
        <v>54</v>
      </c>
      <c r="N546">
        <v>630</v>
      </c>
      <c r="O546">
        <v>33.03</v>
      </c>
      <c r="P546">
        <v>11.898999999999999</v>
      </c>
      <c r="Q546">
        <v>51.284999999999997</v>
      </c>
      <c r="R546">
        <v>2.0760000000000001</v>
      </c>
      <c r="S546">
        <v>40.488999999999997</v>
      </c>
      <c r="T546">
        <v>9.75</v>
      </c>
      <c r="U546">
        <v>3</v>
      </c>
      <c r="V546">
        <v>5.5</v>
      </c>
      <c r="W546">
        <v>9.1875</v>
      </c>
      <c r="X546">
        <v>43</v>
      </c>
      <c r="Y546">
        <v>3.41</v>
      </c>
      <c r="Z546">
        <v>5.34</v>
      </c>
    </row>
    <row r="547" spans="1:26">
      <c r="A547" s="8"/>
      <c r="B547" s="9"/>
      <c r="J547">
        <f>(J544*(J539+4)*J545*10^-6)</f>
        <v>0</v>
      </c>
      <c r="M547" s="22" t="s">
        <v>55</v>
      </c>
      <c r="N547" s="13">
        <v>630</v>
      </c>
      <c r="O547" s="13">
        <v>33.03</v>
      </c>
      <c r="P547" s="13">
        <v>14.196</v>
      </c>
      <c r="Q547" s="13">
        <v>58.588999999999999</v>
      </c>
      <c r="R547" s="13">
        <v>2.032</v>
      </c>
      <c r="S547" s="13">
        <v>48.304000000000002</v>
      </c>
      <c r="T547" s="13">
        <v>9.75</v>
      </c>
      <c r="U547" s="13">
        <v>3</v>
      </c>
      <c r="V547" s="13">
        <v>5.5</v>
      </c>
      <c r="W547" s="13">
        <v>9.1875</v>
      </c>
      <c r="X547" s="13">
        <v>43</v>
      </c>
      <c r="Y547" s="13">
        <v>3.41</v>
      </c>
      <c r="Z547" s="13">
        <v>5.34</v>
      </c>
    </row>
    <row r="548" spans="1:26">
      <c r="A548" s="8"/>
      <c r="M548" s="21" t="s">
        <v>56</v>
      </c>
      <c r="N548">
        <v>630</v>
      </c>
      <c r="O548">
        <v>44.031999999999996</v>
      </c>
      <c r="P548">
        <v>8.109</v>
      </c>
      <c r="Q548">
        <v>51.593000000000004</v>
      </c>
      <c r="R548">
        <v>2.5219999999999998</v>
      </c>
      <c r="S548">
        <v>27.591999999999999</v>
      </c>
      <c r="T548">
        <v>10.9375</v>
      </c>
      <c r="U548">
        <v>2.5</v>
      </c>
      <c r="V548">
        <v>6</v>
      </c>
      <c r="W548">
        <v>9.9375</v>
      </c>
      <c r="X548">
        <v>61</v>
      </c>
      <c r="Y548">
        <v>3</v>
      </c>
      <c r="Z548">
        <v>4.29</v>
      </c>
    </row>
    <row r="549" spans="1:26">
      <c r="A549" s="8"/>
      <c r="B549" s="9"/>
      <c r="M549" s="21" t="s">
        <v>57</v>
      </c>
      <c r="N549">
        <v>630</v>
      </c>
      <c r="O549">
        <v>44.031999999999996</v>
      </c>
      <c r="P549">
        <v>9.4350000000000005</v>
      </c>
      <c r="Q549">
        <v>59.033999999999999</v>
      </c>
      <c r="R549">
        <v>2.5009999999999999</v>
      </c>
      <c r="S549">
        <v>32.103999999999999</v>
      </c>
      <c r="T549">
        <v>10.9375</v>
      </c>
      <c r="U549">
        <v>2.5</v>
      </c>
      <c r="V549">
        <v>6</v>
      </c>
      <c r="W549">
        <v>9.9375</v>
      </c>
      <c r="X549">
        <v>61</v>
      </c>
      <c r="Y549">
        <v>3</v>
      </c>
      <c r="Z549">
        <v>4.29</v>
      </c>
    </row>
    <row r="550" spans="1:26" ht="15.75">
      <c r="A550" s="37"/>
      <c r="B550" s="97"/>
      <c r="C550" s="515" t="s">
        <v>93</v>
      </c>
      <c r="D550" s="515"/>
      <c r="E550" s="40">
        <f>(B551-A539)/(O551)-(0.39*A536)</f>
        <v>0.29533671534338668</v>
      </c>
      <c r="M550" s="23" t="s">
        <v>59</v>
      </c>
      <c r="N550">
        <v>630</v>
      </c>
      <c r="O550">
        <v>44.031999999999996</v>
      </c>
      <c r="P550">
        <v>14.49</v>
      </c>
      <c r="Q550">
        <v>84.834000000000003</v>
      </c>
      <c r="R550">
        <v>2.42</v>
      </c>
      <c r="S550">
        <v>49.305</v>
      </c>
      <c r="T550">
        <v>10.9375</v>
      </c>
      <c r="U550">
        <v>2.5</v>
      </c>
      <c r="V550">
        <v>6</v>
      </c>
      <c r="W550">
        <v>9.9375</v>
      </c>
      <c r="X550">
        <v>61</v>
      </c>
      <c r="Y550">
        <v>3</v>
      </c>
      <c r="Z550">
        <v>4.29</v>
      </c>
    </row>
    <row r="551" spans="1:26" ht="15.75">
      <c r="A551" s="37" t="s">
        <v>98</v>
      </c>
      <c r="B551" s="41">
        <f>A538+B555</f>
        <v>35.900906249999998</v>
      </c>
      <c r="C551" s="516" t="s">
        <v>99</v>
      </c>
      <c r="D551" s="516"/>
      <c r="E551" s="42">
        <f>((B551/(O551))*1.1)</f>
        <v>0.89687038687772547</v>
      </c>
      <c r="M551" s="24" t="s">
        <v>58</v>
      </c>
      <c r="N551" s="13">
        <v>630</v>
      </c>
      <c r="O551" s="13">
        <v>44.031999999999996</v>
      </c>
      <c r="P551" s="13">
        <v>19.181000000000001</v>
      </c>
      <c r="Q551" s="13">
        <v>105.14</v>
      </c>
      <c r="R551" s="13">
        <v>2.3410000000000002</v>
      </c>
      <c r="S551" s="13">
        <v>65.268000000000001</v>
      </c>
      <c r="T551" s="13">
        <v>10.9375</v>
      </c>
      <c r="U551" s="13">
        <v>2.5</v>
      </c>
      <c r="V551" s="13">
        <v>6</v>
      </c>
      <c r="W551" s="13">
        <v>9.9375</v>
      </c>
      <c r="X551" s="13">
        <v>61</v>
      </c>
      <c r="Y551" s="13">
        <v>3</v>
      </c>
      <c r="Z551" s="13">
        <v>4.29</v>
      </c>
    </row>
    <row r="552" spans="1:26" ht="15">
      <c r="A552" s="37"/>
      <c r="B552" s="38"/>
      <c r="C552" s="517" t="s">
        <v>106</v>
      </c>
      <c r="D552" s="514" t="str">
        <f>IF(E550&gt;90,"Good!","Too Low, increase GLOPU or decrease jack diameter, if above 50 use ASK ENGINEERING")</f>
        <v>Too Low, increase GLOPU or decrease jack diameter, if above 50 use ASK ENGINEERING</v>
      </c>
      <c r="E552" s="514"/>
      <c r="F552" s="10"/>
      <c r="M552" s="21" t="s">
        <v>60</v>
      </c>
      <c r="N552">
        <v>630</v>
      </c>
      <c r="O552">
        <v>56.578000000000003</v>
      </c>
      <c r="P552">
        <v>9.2829999999999995</v>
      </c>
      <c r="Q552">
        <v>76.736999999999995</v>
      </c>
      <c r="R552">
        <v>2.875</v>
      </c>
      <c r="S552">
        <v>31.588999999999999</v>
      </c>
      <c r="T552">
        <v>10.9375</v>
      </c>
      <c r="U552">
        <v>2.5</v>
      </c>
      <c r="V552">
        <v>6</v>
      </c>
      <c r="W552">
        <v>9.9375</v>
      </c>
      <c r="X552">
        <v>61</v>
      </c>
      <c r="Y552">
        <v>1.82</v>
      </c>
      <c r="Z552">
        <v>2.6</v>
      </c>
    </row>
    <row r="553" spans="1:26" ht="15.75" thickBot="1">
      <c r="A553" s="37"/>
      <c r="B553" s="44"/>
      <c r="C553" s="518"/>
      <c r="D553" s="519"/>
      <c r="E553" s="519"/>
      <c r="M553" s="21" t="s">
        <v>61</v>
      </c>
      <c r="N553">
        <v>630</v>
      </c>
      <c r="O553">
        <v>56.578000000000003</v>
      </c>
      <c r="P553">
        <v>10.734999999999999</v>
      </c>
      <c r="Q553">
        <v>87.494</v>
      </c>
      <c r="R553">
        <v>2.855</v>
      </c>
      <c r="S553">
        <v>36.527999999999999</v>
      </c>
      <c r="T553">
        <v>10.9375</v>
      </c>
      <c r="U553">
        <v>2.5</v>
      </c>
      <c r="V553">
        <v>6</v>
      </c>
      <c r="W553">
        <v>9.9375</v>
      </c>
      <c r="X553">
        <v>61</v>
      </c>
      <c r="Y553">
        <v>1.82</v>
      </c>
      <c r="Z553">
        <v>2.6</v>
      </c>
    </row>
    <row r="554" spans="1:26" ht="15">
      <c r="A554" s="37"/>
      <c r="B554" s="39"/>
      <c r="C554" s="512" t="s">
        <v>118</v>
      </c>
      <c r="D554" s="514" t="str">
        <f>IF(E551&gt;500,"Too High, reduce GLOPU or increase plunger diameter","Good!")</f>
        <v>Good!</v>
      </c>
      <c r="E554" s="514"/>
      <c r="M554" s="24" t="s">
        <v>70</v>
      </c>
      <c r="N554" s="13">
        <v>630</v>
      </c>
      <c r="O554" s="13">
        <v>56.578000000000003</v>
      </c>
      <c r="P554" s="13">
        <v>15.885999999999999</v>
      </c>
      <c r="Q554" s="13">
        <v>122.965</v>
      </c>
      <c r="R554" s="13">
        <v>2.782</v>
      </c>
      <c r="S554" s="13">
        <v>54.055</v>
      </c>
      <c r="T554" s="13">
        <v>10.9375</v>
      </c>
      <c r="U554" s="13">
        <v>2.5</v>
      </c>
      <c r="V554" s="13">
        <v>6</v>
      </c>
      <c r="W554" s="13">
        <v>9.9375</v>
      </c>
      <c r="X554" s="13">
        <v>61</v>
      </c>
      <c r="Y554" s="13">
        <v>1.82</v>
      </c>
      <c r="Z554" s="13">
        <v>2.6</v>
      </c>
    </row>
    <row r="555" spans="1:26" ht="15">
      <c r="A555" s="46" t="s">
        <v>122</v>
      </c>
      <c r="B555" s="96">
        <f>S536*A544</f>
        <v>35.900906249999998</v>
      </c>
      <c r="C555" s="513"/>
      <c r="D555" s="514"/>
      <c r="E555" s="514"/>
      <c r="M555" s="21" t="s">
        <v>62</v>
      </c>
      <c r="N555">
        <v>537</v>
      </c>
      <c r="O555">
        <v>70.695999999999998</v>
      </c>
      <c r="P555">
        <v>12.27</v>
      </c>
      <c r="Q555">
        <v>126.072</v>
      </c>
      <c r="R555">
        <v>3.2050000000000001</v>
      </c>
      <c r="S555">
        <v>41.75</v>
      </c>
      <c r="T555">
        <v>14.375</v>
      </c>
      <c r="U555">
        <v>2.5</v>
      </c>
      <c r="V555">
        <v>6</v>
      </c>
      <c r="W555">
        <v>12.9375</v>
      </c>
      <c r="X555">
        <v>80</v>
      </c>
      <c r="Y555">
        <v>1.66</v>
      </c>
      <c r="Z555">
        <v>2.62</v>
      </c>
    </row>
    <row r="556" spans="1:26">
      <c r="E556" s="10"/>
      <c r="F556" s="10"/>
      <c r="M556" s="22" t="s">
        <v>63</v>
      </c>
      <c r="N556" s="13">
        <v>537</v>
      </c>
      <c r="O556" s="13">
        <v>70.695999999999998</v>
      </c>
      <c r="P556" s="13">
        <v>18.847000000000001</v>
      </c>
      <c r="Q556" s="13">
        <v>183.79400000000001</v>
      </c>
      <c r="R556" s="13">
        <v>3.1230000000000002</v>
      </c>
      <c r="S556" s="13">
        <v>64.132000000000005</v>
      </c>
      <c r="T556" s="13">
        <v>14.375</v>
      </c>
      <c r="U556" s="13">
        <v>2.5</v>
      </c>
      <c r="V556" s="13">
        <v>6</v>
      </c>
      <c r="W556" s="13">
        <v>12.9375</v>
      </c>
      <c r="X556" s="13">
        <v>80</v>
      </c>
      <c r="Y556" s="13">
        <v>1.66</v>
      </c>
      <c r="Z556" s="13">
        <v>2.62</v>
      </c>
    </row>
    <row r="557" spans="1:26">
      <c r="A557" s="8"/>
      <c r="B557" s="9"/>
      <c r="M557" s="21" t="s">
        <v>64</v>
      </c>
      <c r="N557">
        <v>537</v>
      </c>
      <c r="O557">
        <v>88.456000000000003</v>
      </c>
      <c r="P557">
        <v>13.656000000000001</v>
      </c>
      <c r="Q557">
        <v>177.40799999999999</v>
      </c>
      <c r="R557">
        <v>3.6040000000000001</v>
      </c>
      <c r="S557">
        <v>46.466999999999999</v>
      </c>
      <c r="T557">
        <v>14.375</v>
      </c>
      <c r="U557">
        <v>2.5</v>
      </c>
      <c r="V557">
        <v>6</v>
      </c>
      <c r="W557">
        <v>13.3125</v>
      </c>
      <c r="X557">
        <v>80</v>
      </c>
      <c r="Y557">
        <v>1.06</v>
      </c>
      <c r="Z557">
        <v>1.67</v>
      </c>
    </row>
    <row r="558" spans="1:26">
      <c r="B558" s="9"/>
      <c r="M558" s="21" t="s">
        <v>65</v>
      </c>
      <c r="N558">
        <v>537</v>
      </c>
      <c r="O558">
        <v>88.456000000000003</v>
      </c>
      <c r="P558">
        <v>16.48</v>
      </c>
      <c r="Q558">
        <v>210.39400000000001</v>
      </c>
      <c r="R558">
        <v>3.573</v>
      </c>
      <c r="S558">
        <v>56.076999999999998</v>
      </c>
      <c r="T558">
        <v>14.375</v>
      </c>
      <c r="U558">
        <v>2.5</v>
      </c>
      <c r="V558">
        <v>6</v>
      </c>
      <c r="W558">
        <v>13.3125</v>
      </c>
      <c r="X558">
        <v>80</v>
      </c>
      <c r="Y558">
        <v>1.06</v>
      </c>
      <c r="Z558">
        <v>1.67</v>
      </c>
    </row>
    <row r="559" spans="1:26">
      <c r="B559" s="9"/>
      <c r="M559" s="22" t="s">
        <v>66</v>
      </c>
      <c r="N559" s="13">
        <v>537</v>
      </c>
      <c r="O559" s="13">
        <v>88.456000000000003</v>
      </c>
      <c r="P559" s="13">
        <v>20.350999999999999</v>
      </c>
      <c r="Q559" s="13">
        <v>253.547</v>
      </c>
      <c r="R559" s="13">
        <v>3.53</v>
      </c>
      <c r="S559" s="13">
        <v>69.248999999999995</v>
      </c>
      <c r="T559" s="13">
        <v>14.375</v>
      </c>
      <c r="U559" s="13">
        <v>2.5</v>
      </c>
      <c r="V559" s="13">
        <v>6</v>
      </c>
      <c r="W559" s="13">
        <v>13.3125</v>
      </c>
      <c r="X559" s="13">
        <v>80</v>
      </c>
      <c r="Y559" s="13">
        <v>1.06</v>
      </c>
      <c r="Z559" s="13">
        <v>1.67</v>
      </c>
    </row>
    <row r="560" spans="1:26">
      <c r="M560" s="21" t="s">
        <v>67</v>
      </c>
      <c r="N560">
        <v>449</v>
      </c>
      <c r="O560">
        <v>124.937</v>
      </c>
      <c r="P560">
        <v>16.503</v>
      </c>
      <c r="Q560">
        <v>306.48500000000001</v>
      </c>
      <c r="R560">
        <v>4.3090000000000002</v>
      </c>
      <c r="S560">
        <v>56.155999999999999</v>
      </c>
      <c r="T560">
        <v>0</v>
      </c>
      <c r="U560">
        <v>2.5</v>
      </c>
      <c r="V560">
        <v>6</v>
      </c>
      <c r="W560">
        <v>15.3125</v>
      </c>
      <c r="X560">
        <v>125</v>
      </c>
      <c r="Y560">
        <v>0.83899999999999997</v>
      </c>
      <c r="Z560">
        <v>0</v>
      </c>
    </row>
    <row r="561" spans="1:26">
      <c r="M561" s="22" t="s">
        <v>68</v>
      </c>
      <c r="N561" s="13">
        <v>449</v>
      </c>
      <c r="O561" s="13">
        <v>124.937</v>
      </c>
      <c r="P561" s="13">
        <v>18.78</v>
      </c>
      <c r="Q561" s="13">
        <v>345.36099999999999</v>
      </c>
      <c r="R561" s="13">
        <v>4.2880000000000003</v>
      </c>
      <c r="S561" s="13">
        <v>63.902999999999999</v>
      </c>
      <c r="T561" s="13">
        <v>0</v>
      </c>
      <c r="U561" s="13">
        <v>2.5</v>
      </c>
      <c r="V561" s="13">
        <v>6</v>
      </c>
      <c r="W561" s="13">
        <v>15.3125</v>
      </c>
      <c r="X561" s="13">
        <v>125</v>
      </c>
      <c r="Y561" s="13">
        <v>0.83899999999999997</v>
      </c>
      <c r="Z561" s="13">
        <v>0</v>
      </c>
    </row>
    <row r="562" spans="1:26">
      <c r="M562" s="22" t="s">
        <v>69</v>
      </c>
      <c r="N562" s="14">
        <v>449</v>
      </c>
      <c r="O562" s="14">
        <v>194.51900000000001</v>
      </c>
      <c r="P562" s="14">
        <v>25.079000000000001</v>
      </c>
      <c r="Q562" s="14">
        <v>726.36</v>
      </c>
      <c r="R562" s="14">
        <v>5.3819999999999997</v>
      </c>
      <c r="S562" s="14">
        <v>85.337000000000003</v>
      </c>
      <c r="T562" s="14">
        <v>0</v>
      </c>
      <c r="U562" s="14">
        <v>6</v>
      </c>
      <c r="V562" s="14">
        <v>6</v>
      </c>
      <c r="W562" s="14">
        <v>15.375</v>
      </c>
      <c r="X562" s="14">
        <v>192</v>
      </c>
      <c r="Y562" s="14">
        <v>0.54300000000000004</v>
      </c>
      <c r="Z562" s="14">
        <v>0</v>
      </c>
    </row>
    <row r="565" spans="1:26" ht="12.75">
      <c r="A565" s="3"/>
      <c r="B565" s="15"/>
      <c r="C565" s="16"/>
      <c r="D565" s="16"/>
      <c r="E565" s="16"/>
      <c r="F565" s="16"/>
      <c r="G565" s="20"/>
      <c r="H565" s="4" t="s">
        <v>1</v>
      </c>
      <c r="J565" s="4" t="s">
        <v>2</v>
      </c>
      <c r="M565" s="4" t="s">
        <v>3</v>
      </c>
    </row>
    <row r="566" spans="1:26" ht="12.75">
      <c r="A566" s="1"/>
      <c r="B566" s="1"/>
      <c r="C566" s="1"/>
      <c r="D566" s="1"/>
      <c r="E566" s="1"/>
      <c r="F566" s="1"/>
      <c r="G566" s="1"/>
      <c r="J566" s="5">
        <f>2.85*10^8</f>
        <v>285000000</v>
      </c>
      <c r="K566" s="4" t="s">
        <v>4</v>
      </c>
      <c r="N566" s="4" t="s">
        <v>5</v>
      </c>
      <c r="O566" s="6" t="s">
        <v>6</v>
      </c>
      <c r="P566" s="6" t="s">
        <v>7</v>
      </c>
      <c r="Q566" s="6" t="s">
        <v>8</v>
      </c>
      <c r="R566" s="6" t="s">
        <v>9</v>
      </c>
      <c r="S566" s="6" t="s">
        <v>10</v>
      </c>
      <c r="T566" s="6" t="s">
        <v>11</v>
      </c>
      <c r="U566" s="6" t="s">
        <v>11</v>
      </c>
      <c r="V566" s="6" t="s">
        <v>11</v>
      </c>
      <c r="W566" s="6" t="s">
        <v>11</v>
      </c>
      <c r="X566" s="6" t="s">
        <v>12</v>
      </c>
      <c r="Y566" s="520" t="s">
        <v>13</v>
      </c>
      <c r="Z566" s="520"/>
    </row>
    <row r="567" spans="1:26" ht="12.75">
      <c r="A567" s="1"/>
      <c r="B567" s="1"/>
      <c r="C567" s="1"/>
      <c r="D567" s="1"/>
      <c r="E567" s="1"/>
      <c r="F567" s="1"/>
      <c r="G567" s="1"/>
      <c r="J567">
        <f>VLOOKUP(A568,M565:Z595,4,FALSE)</f>
        <v>9.2829999999999995</v>
      </c>
      <c r="K567" s="4" t="s">
        <v>14</v>
      </c>
      <c r="M567" s="4" t="s">
        <v>15</v>
      </c>
      <c r="N567" s="4" t="s">
        <v>16</v>
      </c>
      <c r="O567" s="6" t="s">
        <v>17</v>
      </c>
      <c r="P567" s="6" t="s">
        <v>17</v>
      </c>
      <c r="Q567" s="6" t="s">
        <v>18</v>
      </c>
      <c r="R567" s="6" t="s">
        <v>19</v>
      </c>
      <c r="S567" s="6" t="s">
        <v>20</v>
      </c>
      <c r="T567" s="6" t="s">
        <v>21</v>
      </c>
      <c r="U567" s="6" t="s">
        <v>22</v>
      </c>
      <c r="V567" s="6" t="s">
        <v>23</v>
      </c>
      <c r="W567" s="6" t="s">
        <v>24</v>
      </c>
      <c r="Y567" s="6" t="s">
        <v>25</v>
      </c>
      <c r="Z567" s="4" t="s">
        <v>26</v>
      </c>
    </row>
    <row r="568" spans="1:26" ht="12.75">
      <c r="A568" s="11" t="s">
        <v>60</v>
      </c>
      <c r="B568" s="3" t="s">
        <v>28</v>
      </c>
      <c r="C568" s="7"/>
      <c r="D568" s="7"/>
      <c r="E568" s="7"/>
      <c r="F568" s="7"/>
      <c r="G568" s="3" t="s">
        <v>1</v>
      </c>
      <c r="J568">
        <f>(A571)</f>
        <v>0</v>
      </c>
      <c r="K568" s="4" t="s">
        <v>29</v>
      </c>
      <c r="M568" s="21" t="s">
        <v>30</v>
      </c>
      <c r="N568">
        <v>492</v>
      </c>
      <c r="O568">
        <v>11.781000000000001</v>
      </c>
      <c r="P568">
        <v>2.8980000000000001</v>
      </c>
      <c r="Q568">
        <v>4.766</v>
      </c>
      <c r="R568">
        <v>1.282</v>
      </c>
      <c r="S568">
        <v>9.8620000000000001</v>
      </c>
      <c r="T568">
        <v>0</v>
      </c>
      <c r="U568">
        <v>3</v>
      </c>
      <c r="V568">
        <v>6.75</v>
      </c>
      <c r="W568">
        <v>9.375</v>
      </c>
      <c r="X568">
        <v>22</v>
      </c>
      <c r="Y568">
        <v>10.47</v>
      </c>
      <c r="Z568">
        <v>0</v>
      </c>
    </row>
    <row r="569" spans="1:26" ht="12.75">
      <c r="A569" s="319">
        <f>'Estimating Form'!$D$18/12+P956</f>
        <v>1.3333333333333333</v>
      </c>
      <c r="B569" s="3" t="s">
        <v>31</v>
      </c>
      <c r="C569" s="7"/>
      <c r="D569" s="7"/>
      <c r="E569" s="7"/>
      <c r="F569" s="7"/>
      <c r="G569" s="7"/>
      <c r="J569">
        <f>VLOOKUP(A568,M565:Z596,7,FALSE)</f>
        <v>31.588999999999999</v>
      </c>
      <c r="K569" s="4" t="s">
        <v>32</v>
      </c>
      <c r="M569" s="22" t="s">
        <v>33</v>
      </c>
      <c r="N569" s="13">
        <v>492</v>
      </c>
      <c r="O569" s="13">
        <v>11.781000000000001</v>
      </c>
      <c r="P569" s="13">
        <v>5.94</v>
      </c>
      <c r="Q569" s="13">
        <v>8.33</v>
      </c>
      <c r="R569" s="13">
        <v>1.1839999999999999</v>
      </c>
      <c r="S569" s="13">
        <v>20.213999999999999</v>
      </c>
      <c r="T569" s="13">
        <v>0</v>
      </c>
      <c r="U569" s="13">
        <v>3</v>
      </c>
      <c r="V569" s="13">
        <v>6.75</v>
      </c>
      <c r="W569" s="13">
        <v>9.375</v>
      </c>
      <c r="X569" s="13">
        <v>22</v>
      </c>
      <c r="Y569" s="13">
        <v>10.47</v>
      </c>
      <c r="Z569" s="13">
        <v>0</v>
      </c>
    </row>
    <row r="570" spans="1:26" ht="12.75">
      <c r="A570" s="11">
        <v>0</v>
      </c>
      <c r="B570" s="3" t="s">
        <v>34</v>
      </c>
      <c r="C570" s="7"/>
      <c r="D570" s="7"/>
      <c r="E570" s="7"/>
      <c r="F570" s="7"/>
      <c r="G570" s="7"/>
      <c r="J570">
        <f>VLOOKUP(A568,M565:Z595,6,FALSE)</f>
        <v>2.875</v>
      </c>
      <c r="K570" s="4" t="s">
        <v>35</v>
      </c>
      <c r="M570" s="21" t="s">
        <v>36</v>
      </c>
      <c r="N570">
        <v>594</v>
      </c>
      <c r="O570">
        <v>14.93</v>
      </c>
      <c r="P570">
        <v>3.3490000000000002</v>
      </c>
      <c r="Q570">
        <v>7.0650000000000004</v>
      </c>
      <c r="R570">
        <v>1.452</v>
      </c>
      <c r="S570">
        <v>11.396000000000001</v>
      </c>
      <c r="T570">
        <v>9.3125</v>
      </c>
      <c r="U570">
        <v>3</v>
      </c>
      <c r="V570">
        <v>5.5</v>
      </c>
      <c r="W570">
        <v>8.8125</v>
      </c>
      <c r="X570">
        <v>29</v>
      </c>
      <c r="Y570">
        <v>9.52</v>
      </c>
      <c r="Z570">
        <v>16.670000000000002</v>
      </c>
    </row>
    <row r="571" spans="1:26" ht="12.75">
      <c r="A571" s="11">
        <f>'Estimating Form'!$G$22</f>
        <v>0</v>
      </c>
      <c r="B571" s="3" t="s">
        <v>37</v>
      </c>
      <c r="C571" s="7"/>
      <c r="D571" s="7"/>
      <c r="E571" s="7"/>
      <c r="F571" s="7"/>
      <c r="G571" s="7"/>
      <c r="J571">
        <f>(A569*12+A570)</f>
        <v>16</v>
      </c>
      <c r="K571" s="4" t="s">
        <v>38</v>
      </c>
      <c r="M571" s="21" t="s">
        <v>39</v>
      </c>
      <c r="N571">
        <v>594</v>
      </c>
      <c r="O571">
        <v>14.93</v>
      </c>
      <c r="P571">
        <v>5.5170000000000003</v>
      </c>
      <c r="Q571">
        <v>10.686999999999999</v>
      </c>
      <c r="R571">
        <v>1.3919999999999999</v>
      </c>
      <c r="S571">
        <v>18.771999999999998</v>
      </c>
      <c r="T571">
        <v>9.3125</v>
      </c>
      <c r="U571">
        <v>3</v>
      </c>
      <c r="V571">
        <v>5.5</v>
      </c>
      <c r="W571">
        <v>8.8125</v>
      </c>
      <c r="X571">
        <v>29</v>
      </c>
      <c r="Y571">
        <v>9.52</v>
      </c>
      <c r="Z571">
        <v>16.670000000000002</v>
      </c>
    </row>
    <row r="572" spans="1:26" ht="12.75">
      <c r="A572" s="11">
        <f>'Estimating Form'!$D$20</f>
        <v>0</v>
      </c>
      <c r="B572" s="3" t="s">
        <v>40</v>
      </c>
      <c r="C572" s="7"/>
      <c r="D572" s="7"/>
      <c r="E572" s="7"/>
      <c r="F572" s="7"/>
      <c r="G572" s="7"/>
      <c r="J572">
        <f>(A569+A570/12)</f>
        <v>1.3333333333333333</v>
      </c>
      <c r="K572" s="4" t="s">
        <v>41</v>
      </c>
      <c r="M572" s="22" t="s">
        <v>42</v>
      </c>
      <c r="N572" s="13">
        <v>594</v>
      </c>
      <c r="O572" s="13">
        <v>14.93</v>
      </c>
      <c r="P572" s="13">
        <v>7.1269999999999998</v>
      </c>
      <c r="Q572" s="13">
        <v>12.893000000000001</v>
      </c>
      <c r="R572" s="13">
        <v>1.345</v>
      </c>
      <c r="S572" s="13">
        <v>24.251999999999999</v>
      </c>
      <c r="T572" s="13">
        <v>9.3125</v>
      </c>
      <c r="U572" s="13">
        <v>3</v>
      </c>
      <c r="V572" s="13">
        <v>5.5</v>
      </c>
      <c r="W572" s="13">
        <v>8.8125</v>
      </c>
      <c r="X572" s="13">
        <v>29</v>
      </c>
      <c r="Y572" s="13">
        <v>9.52</v>
      </c>
      <c r="Z572" s="13">
        <v>16.670000000000002</v>
      </c>
    </row>
    <row r="573" spans="1:26" ht="12.75">
      <c r="A573" s="11">
        <v>0</v>
      </c>
      <c r="B573" s="3" t="s">
        <v>43</v>
      </c>
      <c r="C573" s="7"/>
      <c r="D573" s="7"/>
      <c r="E573" s="7"/>
      <c r="F573" s="7"/>
      <c r="G573" s="7"/>
      <c r="M573" s="21" t="s">
        <v>44</v>
      </c>
      <c r="N573">
        <v>630</v>
      </c>
      <c r="O573">
        <v>23.114999999999998</v>
      </c>
      <c r="P573">
        <v>4.8</v>
      </c>
      <c r="Q573">
        <v>15.824999999999999</v>
      </c>
      <c r="R573">
        <v>1.8160000000000001</v>
      </c>
      <c r="S573">
        <v>16.332999999999998</v>
      </c>
      <c r="T573">
        <v>9.75</v>
      </c>
      <c r="U573">
        <v>3</v>
      </c>
      <c r="V573">
        <v>5.5</v>
      </c>
      <c r="W573">
        <v>9.1875</v>
      </c>
      <c r="X573">
        <v>43</v>
      </c>
      <c r="Y573">
        <v>6.95</v>
      </c>
      <c r="Z573">
        <v>10.9</v>
      </c>
    </row>
    <row r="574" spans="1:26" ht="12.75">
      <c r="A574" s="7"/>
      <c r="B574" s="7"/>
      <c r="C574" s="7"/>
      <c r="D574" s="7"/>
      <c r="E574" s="7"/>
      <c r="F574" s="7"/>
      <c r="G574" s="7"/>
      <c r="J574">
        <f>(J566*J567/(J568+(J569*J572/2)))*(J570/J571)^2</f>
        <v>4056246.3599945917</v>
      </c>
      <c r="M574" s="21" t="s">
        <v>45</v>
      </c>
      <c r="N574">
        <v>630</v>
      </c>
      <c r="O574">
        <v>23.114999999999998</v>
      </c>
      <c r="P574">
        <v>6.59</v>
      </c>
      <c r="Q574">
        <v>20.786000000000001</v>
      </c>
      <c r="R574">
        <v>1.776</v>
      </c>
      <c r="S574">
        <v>22.422000000000001</v>
      </c>
      <c r="T574">
        <v>9.75</v>
      </c>
      <c r="U574">
        <v>3</v>
      </c>
      <c r="V574">
        <v>5.5</v>
      </c>
      <c r="W574">
        <v>9.1875</v>
      </c>
      <c r="X574">
        <v>43</v>
      </c>
      <c r="Y574">
        <v>6.95</v>
      </c>
      <c r="Z574">
        <v>10.9</v>
      </c>
    </row>
    <row r="575" spans="1:26" ht="12.75">
      <c r="A575" s="12">
        <f>(J574)</f>
        <v>4056246.3599945917</v>
      </c>
      <c r="B575" s="3" t="s">
        <v>46</v>
      </c>
      <c r="C575" s="7"/>
      <c r="D575" s="7"/>
      <c r="E575" s="7"/>
      <c r="F575" s="7"/>
      <c r="G575" s="7"/>
      <c r="M575" s="21" t="s">
        <v>47</v>
      </c>
      <c r="N575">
        <v>630</v>
      </c>
      <c r="O575">
        <v>23.114999999999998</v>
      </c>
      <c r="P575">
        <v>8.5050000000000008</v>
      </c>
      <c r="Q575">
        <v>25.532</v>
      </c>
      <c r="R575">
        <v>1.7330000000000001</v>
      </c>
      <c r="S575">
        <v>28.94</v>
      </c>
      <c r="T575">
        <v>9.75</v>
      </c>
      <c r="U575">
        <v>3</v>
      </c>
      <c r="V575">
        <v>5.5</v>
      </c>
      <c r="W575">
        <v>9.1875</v>
      </c>
      <c r="X575">
        <v>43</v>
      </c>
      <c r="Y575">
        <v>6.95</v>
      </c>
      <c r="Z575">
        <v>10.9</v>
      </c>
    </row>
    <row r="576" spans="1:26" ht="12.75">
      <c r="A576" s="12">
        <f>(J580)</f>
        <v>0</v>
      </c>
      <c r="B576" s="3" t="s">
        <v>48</v>
      </c>
      <c r="C576" s="7"/>
      <c r="D576" s="7"/>
      <c r="E576" s="7"/>
      <c r="F576" s="7"/>
      <c r="G576" s="7"/>
      <c r="J576" s="4" t="s">
        <v>49</v>
      </c>
      <c r="M576" s="22" t="s">
        <v>50</v>
      </c>
      <c r="N576" s="13">
        <v>234</v>
      </c>
      <c r="O576" s="13">
        <v>23.114999999999998</v>
      </c>
      <c r="P576" s="13">
        <v>10.148999999999999</v>
      </c>
      <c r="Q576" s="13">
        <v>29.140999999999998</v>
      </c>
      <c r="R576" s="13">
        <v>1.694</v>
      </c>
      <c r="S576" s="13">
        <v>34.436</v>
      </c>
      <c r="T576" s="13">
        <v>9.75</v>
      </c>
      <c r="U576" s="13">
        <v>3</v>
      </c>
      <c r="V576" s="13">
        <v>5.5</v>
      </c>
      <c r="W576" s="13">
        <v>9.1875</v>
      </c>
      <c r="X576" s="13">
        <v>43</v>
      </c>
      <c r="Y576" s="13">
        <v>6.95</v>
      </c>
      <c r="Z576" s="13">
        <v>10.9</v>
      </c>
    </row>
    <row r="577" spans="1:26" ht="12.75">
      <c r="A577" s="11">
        <f>'Estimating Form'!$D$18/12+P957</f>
        <v>1.7760416666666667</v>
      </c>
      <c r="B577" s="3" t="s">
        <v>957</v>
      </c>
      <c r="J577">
        <f>VLOOKUP(A568,M565:Z595,IF(A573=1,13,12)+1,FALSE)</f>
        <v>1.82</v>
      </c>
      <c r="K577" s="4" t="s">
        <v>51</v>
      </c>
      <c r="M577" s="21" t="s">
        <v>27</v>
      </c>
      <c r="N577">
        <v>630</v>
      </c>
      <c r="O577">
        <v>33.03</v>
      </c>
      <c r="P577">
        <v>5.9219999999999997</v>
      </c>
      <c r="Q577">
        <v>28.338999999999999</v>
      </c>
      <c r="R577">
        <v>2.1880000000000002</v>
      </c>
      <c r="S577">
        <v>20.149999999999999</v>
      </c>
      <c r="T577">
        <v>9.75</v>
      </c>
      <c r="U577">
        <v>3</v>
      </c>
      <c r="V577">
        <v>5.5</v>
      </c>
      <c r="W577">
        <v>9.1875</v>
      </c>
      <c r="X577">
        <v>43</v>
      </c>
      <c r="Y577">
        <v>3.41</v>
      </c>
      <c r="Z577">
        <v>5.34</v>
      </c>
    </row>
    <row r="578" spans="1:26">
      <c r="A578" s="8"/>
      <c r="B578" s="4"/>
      <c r="J578">
        <f>(A572)</f>
        <v>0</v>
      </c>
      <c r="K578" s="4" t="s">
        <v>52</v>
      </c>
      <c r="M578" s="21" t="s">
        <v>53</v>
      </c>
      <c r="N578">
        <v>630</v>
      </c>
      <c r="O578">
        <v>33.03</v>
      </c>
      <c r="P578">
        <v>9.2799999999999994</v>
      </c>
      <c r="Q578">
        <v>41.933</v>
      </c>
      <c r="R578">
        <v>2.1259999999999999</v>
      </c>
      <c r="S578">
        <v>31.579000000000001</v>
      </c>
      <c r="T578">
        <v>9.75</v>
      </c>
      <c r="U578">
        <v>3</v>
      </c>
      <c r="V578">
        <v>5.5</v>
      </c>
      <c r="W578">
        <v>9.1875</v>
      </c>
      <c r="X578">
        <v>43</v>
      </c>
      <c r="Y578">
        <v>3.41</v>
      </c>
      <c r="Z578">
        <v>5.34</v>
      </c>
    </row>
    <row r="579" spans="1:26">
      <c r="A579" s="8"/>
      <c r="B579" s="9"/>
      <c r="M579" s="21" t="s">
        <v>54</v>
      </c>
      <c r="N579">
        <v>630</v>
      </c>
      <c r="O579">
        <v>33.03</v>
      </c>
      <c r="P579">
        <v>11.898999999999999</v>
      </c>
      <c r="Q579">
        <v>51.284999999999997</v>
      </c>
      <c r="R579">
        <v>2.0760000000000001</v>
      </c>
      <c r="S579">
        <v>40.488999999999997</v>
      </c>
      <c r="T579">
        <v>9.75</v>
      </c>
      <c r="U579">
        <v>3</v>
      </c>
      <c r="V579">
        <v>5.5</v>
      </c>
      <c r="W579">
        <v>9.1875</v>
      </c>
      <c r="X579">
        <v>43</v>
      </c>
      <c r="Y579">
        <v>3.41</v>
      </c>
      <c r="Z579">
        <v>5.34</v>
      </c>
    </row>
    <row r="580" spans="1:26">
      <c r="A580" s="8"/>
      <c r="B580" s="9"/>
      <c r="J580">
        <f>(J577*(J572+4)*J578*10^-6)</f>
        <v>0</v>
      </c>
      <c r="M580" s="22" t="s">
        <v>55</v>
      </c>
      <c r="N580" s="13">
        <v>630</v>
      </c>
      <c r="O580" s="13">
        <v>33.03</v>
      </c>
      <c r="P580" s="13">
        <v>14.196</v>
      </c>
      <c r="Q580" s="13">
        <v>58.588999999999999</v>
      </c>
      <c r="R580" s="13">
        <v>2.032</v>
      </c>
      <c r="S580" s="13">
        <v>48.304000000000002</v>
      </c>
      <c r="T580" s="13">
        <v>9.75</v>
      </c>
      <c r="U580" s="13">
        <v>3</v>
      </c>
      <c r="V580" s="13">
        <v>5.5</v>
      </c>
      <c r="W580" s="13">
        <v>9.1875</v>
      </c>
      <c r="X580" s="13">
        <v>43</v>
      </c>
      <c r="Y580" s="13">
        <v>3.41</v>
      </c>
      <c r="Z580" s="13">
        <v>5.34</v>
      </c>
    </row>
    <row r="581" spans="1:26">
      <c r="A581" s="8"/>
      <c r="M581" s="21" t="s">
        <v>56</v>
      </c>
      <c r="N581">
        <v>630</v>
      </c>
      <c r="O581">
        <v>44.031999999999996</v>
      </c>
      <c r="P581">
        <v>8.109</v>
      </c>
      <c r="Q581">
        <v>51.593000000000004</v>
      </c>
      <c r="R581">
        <v>2.5219999999999998</v>
      </c>
      <c r="S581">
        <v>27.591999999999999</v>
      </c>
      <c r="T581">
        <v>10.9375</v>
      </c>
      <c r="U581">
        <v>2.5</v>
      </c>
      <c r="V581">
        <v>6</v>
      </c>
      <c r="W581">
        <v>9.9375</v>
      </c>
      <c r="X581">
        <v>61</v>
      </c>
      <c r="Y581">
        <v>3</v>
      </c>
      <c r="Z581">
        <v>4.29</v>
      </c>
    </row>
    <row r="582" spans="1:26">
      <c r="A582" s="8"/>
      <c r="B582" s="9"/>
      <c r="M582" s="21" t="s">
        <v>57</v>
      </c>
      <c r="N582">
        <v>630</v>
      </c>
      <c r="O582">
        <v>44.031999999999996</v>
      </c>
      <c r="P582">
        <v>9.4350000000000005</v>
      </c>
      <c r="Q582">
        <v>59.033999999999999</v>
      </c>
      <c r="R582">
        <v>2.5009999999999999</v>
      </c>
      <c r="S582">
        <v>32.103999999999999</v>
      </c>
      <c r="T582">
        <v>10.9375</v>
      </c>
      <c r="U582">
        <v>2.5</v>
      </c>
      <c r="V582">
        <v>6</v>
      </c>
      <c r="W582">
        <v>9.9375</v>
      </c>
      <c r="X582">
        <v>61</v>
      </c>
      <c r="Y582">
        <v>3</v>
      </c>
      <c r="Z582">
        <v>4.29</v>
      </c>
    </row>
    <row r="583" spans="1:26" ht="15.75">
      <c r="A583" s="37"/>
      <c r="B583" s="97"/>
      <c r="C583" s="515" t="s">
        <v>93</v>
      </c>
      <c r="D583" s="515"/>
      <c r="E583" s="40">
        <f>(B584-A572)/(O585)-(0.39*A569)</f>
        <v>0.11453827017568663</v>
      </c>
      <c r="M583" s="23" t="s">
        <v>59</v>
      </c>
      <c r="N583">
        <v>630</v>
      </c>
      <c r="O583">
        <v>44.031999999999996</v>
      </c>
      <c r="P583">
        <v>14.49</v>
      </c>
      <c r="Q583">
        <v>84.834000000000003</v>
      </c>
      <c r="R583">
        <v>2.42</v>
      </c>
      <c r="S583">
        <v>49.305</v>
      </c>
      <c r="T583">
        <v>10.9375</v>
      </c>
      <c r="U583">
        <v>2.5</v>
      </c>
      <c r="V583">
        <v>6</v>
      </c>
      <c r="W583">
        <v>9.9375</v>
      </c>
      <c r="X583">
        <v>61</v>
      </c>
      <c r="Y583">
        <v>3</v>
      </c>
      <c r="Z583">
        <v>4.29</v>
      </c>
    </row>
    <row r="584" spans="1:26" ht="15.75">
      <c r="A584" s="37" t="s">
        <v>98</v>
      </c>
      <c r="B584" s="41">
        <f>A571+B588</f>
        <v>35.900906249999998</v>
      </c>
      <c r="C584" s="516" t="s">
        <v>99</v>
      </c>
      <c r="D584" s="516"/>
      <c r="E584" s="42">
        <f>((B584/(O585))*1.1)</f>
        <v>0.69799209719325539</v>
      </c>
      <c r="M584" s="24" t="s">
        <v>58</v>
      </c>
      <c r="N584" s="13">
        <v>630</v>
      </c>
      <c r="O584" s="13">
        <v>44.031999999999996</v>
      </c>
      <c r="P584" s="13">
        <v>19.181000000000001</v>
      </c>
      <c r="Q584" s="13">
        <v>105.14</v>
      </c>
      <c r="R584" s="13">
        <v>2.3410000000000002</v>
      </c>
      <c r="S584" s="13">
        <v>65.268000000000001</v>
      </c>
      <c r="T584" s="13">
        <v>10.9375</v>
      </c>
      <c r="U584" s="13">
        <v>2.5</v>
      </c>
      <c r="V584" s="13">
        <v>6</v>
      </c>
      <c r="W584" s="13">
        <v>9.9375</v>
      </c>
      <c r="X584" s="13">
        <v>61</v>
      </c>
      <c r="Y584" s="13">
        <v>3</v>
      </c>
      <c r="Z584" s="13">
        <v>4.29</v>
      </c>
    </row>
    <row r="585" spans="1:26" ht="15">
      <c r="A585" s="37"/>
      <c r="B585" s="38"/>
      <c r="C585" s="517" t="s">
        <v>106</v>
      </c>
      <c r="D585" s="514" t="str">
        <f>IF(E583&gt;90,"Good!","Too Low, increase GLOPU or decrease jack diameter, if above 50 use ASK ENGINEERING")</f>
        <v>Too Low, increase GLOPU or decrease jack diameter, if above 50 use ASK ENGINEERING</v>
      </c>
      <c r="E585" s="514"/>
      <c r="F585" s="10"/>
      <c r="M585" s="21" t="s">
        <v>60</v>
      </c>
      <c r="N585">
        <v>630</v>
      </c>
      <c r="O585">
        <v>56.578000000000003</v>
      </c>
      <c r="P585">
        <v>9.2829999999999995</v>
      </c>
      <c r="Q585">
        <v>76.736999999999995</v>
      </c>
      <c r="R585">
        <v>2.875</v>
      </c>
      <c r="S585">
        <v>31.588999999999999</v>
      </c>
      <c r="T585">
        <v>10.9375</v>
      </c>
      <c r="U585">
        <v>2.5</v>
      </c>
      <c r="V585">
        <v>6</v>
      </c>
      <c r="W585">
        <v>9.9375</v>
      </c>
      <c r="X585">
        <v>61</v>
      </c>
      <c r="Y585">
        <v>1.82</v>
      </c>
      <c r="Z585">
        <v>2.6</v>
      </c>
    </row>
    <row r="586" spans="1:26" ht="15.75" thickBot="1">
      <c r="A586" s="37"/>
      <c r="B586" s="44"/>
      <c r="C586" s="518"/>
      <c r="D586" s="519"/>
      <c r="E586" s="519"/>
      <c r="M586" s="21" t="s">
        <v>61</v>
      </c>
      <c r="N586">
        <v>630</v>
      </c>
      <c r="O586">
        <v>56.578000000000003</v>
      </c>
      <c r="P586">
        <v>10.734999999999999</v>
      </c>
      <c r="Q586">
        <v>87.494</v>
      </c>
      <c r="R586">
        <v>2.855</v>
      </c>
      <c r="S586">
        <v>36.527999999999999</v>
      </c>
      <c r="T586">
        <v>10.9375</v>
      </c>
      <c r="U586">
        <v>2.5</v>
      </c>
      <c r="V586">
        <v>6</v>
      </c>
      <c r="W586">
        <v>9.9375</v>
      </c>
      <c r="X586">
        <v>61</v>
      </c>
      <c r="Y586">
        <v>1.82</v>
      </c>
      <c r="Z586">
        <v>2.6</v>
      </c>
    </row>
    <row r="587" spans="1:26" ht="15">
      <c r="A587" s="37"/>
      <c r="B587" s="39"/>
      <c r="C587" s="512" t="s">
        <v>118</v>
      </c>
      <c r="D587" s="514" t="str">
        <f>IF(E584&gt;500,"Too High, reduce GLOPU or increase plunger diameter","Good!")</f>
        <v>Good!</v>
      </c>
      <c r="E587" s="514"/>
      <c r="M587" s="24" t="s">
        <v>70</v>
      </c>
      <c r="N587" s="13">
        <v>630</v>
      </c>
      <c r="O587" s="13">
        <v>56.578000000000003</v>
      </c>
      <c r="P587" s="13">
        <v>15.885999999999999</v>
      </c>
      <c r="Q587" s="13">
        <v>122.965</v>
      </c>
      <c r="R587" s="13">
        <v>2.782</v>
      </c>
      <c r="S587" s="13">
        <v>54.055</v>
      </c>
      <c r="T587" s="13">
        <v>10.9375</v>
      </c>
      <c r="U587" s="13">
        <v>2.5</v>
      </c>
      <c r="V587" s="13">
        <v>6</v>
      </c>
      <c r="W587" s="13">
        <v>9.9375</v>
      </c>
      <c r="X587" s="13">
        <v>61</v>
      </c>
      <c r="Y587" s="13">
        <v>1.82</v>
      </c>
      <c r="Z587" s="13">
        <v>2.6</v>
      </c>
    </row>
    <row r="588" spans="1:26" ht="15">
      <c r="A588" s="46" t="s">
        <v>122</v>
      </c>
      <c r="B588" s="96">
        <f>S569*A577</f>
        <v>35.900906249999998</v>
      </c>
      <c r="C588" s="513"/>
      <c r="D588" s="514"/>
      <c r="E588" s="514"/>
      <c r="M588" s="21" t="s">
        <v>62</v>
      </c>
      <c r="N588">
        <v>537</v>
      </c>
      <c r="O588">
        <v>70.695999999999998</v>
      </c>
      <c r="P588">
        <v>12.27</v>
      </c>
      <c r="Q588">
        <v>126.072</v>
      </c>
      <c r="R588">
        <v>3.2050000000000001</v>
      </c>
      <c r="S588">
        <v>41.75</v>
      </c>
      <c r="T588">
        <v>14.375</v>
      </c>
      <c r="U588">
        <v>2.5</v>
      </c>
      <c r="V588">
        <v>6</v>
      </c>
      <c r="W588">
        <v>12.9375</v>
      </c>
      <c r="X588">
        <v>80</v>
      </c>
      <c r="Y588">
        <v>1.66</v>
      </c>
      <c r="Z588">
        <v>2.62</v>
      </c>
    </row>
    <row r="589" spans="1:26">
      <c r="E589" s="10"/>
      <c r="F589" s="10"/>
      <c r="M589" s="22" t="s">
        <v>63</v>
      </c>
      <c r="N589" s="13">
        <v>537</v>
      </c>
      <c r="O589" s="13">
        <v>70.695999999999998</v>
      </c>
      <c r="P589" s="13">
        <v>18.847000000000001</v>
      </c>
      <c r="Q589" s="13">
        <v>183.79400000000001</v>
      </c>
      <c r="R589" s="13">
        <v>3.1230000000000002</v>
      </c>
      <c r="S589" s="13">
        <v>64.132000000000005</v>
      </c>
      <c r="T589" s="13">
        <v>14.375</v>
      </c>
      <c r="U589" s="13">
        <v>2.5</v>
      </c>
      <c r="V589" s="13">
        <v>6</v>
      </c>
      <c r="W589" s="13">
        <v>12.9375</v>
      </c>
      <c r="X589" s="13">
        <v>80</v>
      </c>
      <c r="Y589" s="13">
        <v>1.66</v>
      </c>
      <c r="Z589" s="13">
        <v>2.62</v>
      </c>
    </row>
    <row r="590" spans="1:26">
      <c r="A590" s="8"/>
      <c r="B590" s="9"/>
      <c r="M590" s="21" t="s">
        <v>64</v>
      </c>
      <c r="N590">
        <v>537</v>
      </c>
      <c r="O590">
        <v>88.456000000000003</v>
      </c>
      <c r="P590">
        <v>13.656000000000001</v>
      </c>
      <c r="Q590">
        <v>177.40799999999999</v>
      </c>
      <c r="R590">
        <v>3.6040000000000001</v>
      </c>
      <c r="S590">
        <v>46.466999999999999</v>
      </c>
      <c r="T590">
        <v>14.375</v>
      </c>
      <c r="U590">
        <v>2.5</v>
      </c>
      <c r="V590">
        <v>6</v>
      </c>
      <c r="W590">
        <v>13.3125</v>
      </c>
      <c r="X590">
        <v>80</v>
      </c>
      <c r="Y590">
        <v>1.06</v>
      </c>
      <c r="Z590">
        <v>1.67</v>
      </c>
    </row>
    <row r="591" spans="1:26">
      <c r="B591" s="9"/>
      <c r="M591" s="21" t="s">
        <v>65</v>
      </c>
      <c r="N591">
        <v>537</v>
      </c>
      <c r="O591">
        <v>88.456000000000003</v>
      </c>
      <c r="P591">
        <v>16.48</v>
      </c>
      <c r="Q591">
        <v>210.39400000000001</v>
      </c>
      <c r="R591">
        <v>3.573</v>
      </c>
      <c r="S591">
        <v>56.076999999999998</v>
      </c>
      <c r="T591">
        <v>14.375</v>
      </c>
      <c r="U591">
        <v>2.5</v>
      </c>
      <c r="V591">
        <v>6</v>
      </c>
      <c r="W591">
        <v>13.3125</v>
      </c>
      <c r="X591">
        <v>80</v>
      </c>
      <c r="Y591">
        <v>1.06</v>
      </c>
      <c r="Z591">
        <v>1.67</v>
      </c>
    </row>
    <row r="592" spans="1:26">
      <c r="B592" s="9"/>
      <c r="M592" s="22" t="s">
        <v>66</v>
      </c>
      <c r="N592" s="13">
        <v>537</v>
      </c>
      <c r="O592" s="13">
        <v>88.456000000000003</v>
      </c>
      <c r="P592" s="13">
        <v>20.350999999999999</v>
      </c>
      <c r="Q592" s="13">
        <v>253.547</v>
      </c>
      <c r="R592" s="13">
        <v>3.53</v>
      </c>
      <c r="S592" s="13">
        <v>69.248999999999995</v>
      </c>
      <c r="T592" s="13">
        <v>14.375</v>
      </c>
      <c r="U592" s="13">
        <v>2.5</v>
      </c>
      <c r="V592" s="13">
        <v>6</v>
      </c>
      <c r="W592" s="13">
        <v>13.3125</v>
      </c>
      <c r="X592" s="13">
        <v>80</v>
      </c>
      <c r="Y592" s="13">
        <v>1.06</v>
      </c>
      <c r="Z592" s="13">
        <v>1.67</v>
      </c>
    </row>
    <row r="593" spans="1:26">
      <c r="M593" s="21" t="s">
        <v>67</v>
      </c>
      <c r="N593">
        <v>449</v>
      </c>
      <c r="O593">
        <v>124.937</v>
      </c>
      <c r="P593">
        <v>16.503</v>
      </c>
      <c r="Q593">
        <v>306.48500000000001</v>
      </c>
      <c r="R593">
        <v>4.3090000000000002</v>
      </c>
      <c r="S593">
        <v>56.155999999999999</v>
      </c>
      <c r="T593">
        <v>0</v>
      </c>
      <c r="U593">
        <v>2.5</v>
      </c>
      <c r="V593">
        <v>6</v>
      </c>
      <c r="W593">
        <v>15.3125</v>
      </c>
      <c r="X593">
        <v>125</v>
      </c>
      <c r="Y593">
        <v>0.83899999999999997</v>
      </c>
      <c r="Z593">
        <v>0</v>
      </c>
    </row>
    <row r="594" spans="1:26">
      <c r="M594" s="22" t="s">
        <v>68</v>
      </c>
      <c r="N594" s="13">
        <v>449</v>
      </c>
      <c r="O594" s="13">
        <v>124.937</v>
      </c>
      <c r="P594" s="13">
        <v>18.78</v>
      </c>
      <c r="Q594" s="13">
        <v>345.36099999999999</v>
      </c>
      <c r="R594" s="13">
        <v>4.2880000000000003</v>
      </c>
      <c r="S594" s="13">
        <v>63.902999999999999</v>
      </c>
      <c r="T594" s="13">
        <v>0</v>
      </c>
      <c r="U594" s="13">
        <v>2.5</v>
      </c>
      <c r="V594" s="13">
        <v>6</v>
      </c>
      <c r="W594" s="13">
        <v>15.3125</v>
      </c>
      <c r="X594" s="13">
        <v>125</v>
      </c>
      <c r="Y594" s="13">
        <v>0.83899999999999997</v>
      </c>
      <c r="Z594" s="13">
        <v>0</v>
      </c>
    </row>
    <row r="595" spans="1:26">
      <c r="M595" s="22" t="s">
        <v>69</v>
      </c>
      <c r="N595" s="14">
        <v>449</v>
      </c>
      <c r="O595" s="14">
        <v>194.51900000000001</v>
      </c>
      <c r="P595" s="14">
        <v>25.079000000000001</v>
      </c>
      <c r="Q595" s="14">
        <v>726.36</v>
      </c>
      <c r="R595" s="14">
        <v>5.3819999999999997</v>
      </c>
      <c r="S595" s="14">
        <v>85.337000000000003</v>
      </c>
      <c r="T595" s="14">
        <v>0</v>
      </c>
      <c r="U595" s="14">
        <v>6</v>
      </c>
      <c r="V595" s="14">
        <v>6</v>
      </c>
      <c r="W595" s="14">
        <v>15.375</v>
      </c>
      <c r="X595" s="14">
        <v>192</v>
      </c>
      <c r="Y595" s="14">
        <v>0.54300000000000004</v>
      </c>
      <c r="Z595" s="14">
        <v>0</v>
      </c>
    </row>
    <row r="598" spans="1:26" ht="12.75">
      <c r="A598" s="3"/>
      <c r="B598" s="15"/>
      <c r="C598" s="16"/>
      <c r="D598" s="16"/>
      <c r="E598" s="16"/>
      <c r="F598" s="16"/>
      <c r="G598" s="20"/>
      <c r="H598" s="4" t="s">
        <v>1</v>
      </c>
      <c r="J598" s="4" t="s">
        <v>2</v>
      </c>
      <c r="M598" s="4" t="s">
        <v>3</v>
      </c>
    </row>
    <row r="599" spans="1:26" ht="12.75">
      <c r="A599" s="1"/>
      <c r="B599" s="1"/>
      <c r="C599" s="1"/>
      <c r="D599" s="1"/>
      <c r="E599" s="1"/>
      <c r="F599" s="1"/>
      <c r="G599" s="1"/>
      <c r="J599" s="5">
        <f>2.85*10^8</f>
        <v>285000000</v>
      </c>
      <c r="K599" s="4" t="s">
        <v>4</v>
      </c>
      <c r="N599" s="4" t="s">
        <v>5</v>
      </c>
      <c r="O599" s="6" t="s">
        <v>6</v>
      </c>
      <c r="P599" s="6" t="s">
        <v>7</v>
      </c>
      <c r="Q599" s="6" t="s">
        <v>8</v>
      </c>
      <c r="R599" s="6" t="s">
        <v>9</v>
      </c>
      <c r="S599" s="6" t="s">
        <v>10</v>
      </c>
      <c r="T599" s="6" t="s">
        <v>11</v>
      </c>
      <c r="U599" s="6" t="s">
        <v>11</v>
      </c>
      <c r="V599" s="6" t="s">
        <v>11</v>
      </c>
      <c r="W599" s="6" t="s">
        <v>11</v>
      </c>
      <c r="X599" s="6" t="s">
        <v>12</v>
      </c>
      <c r="Y599" s="520" t="s">
        <v>13</v>
      </c>
      <c r="Z599" s="520"/>
    </row>
    <row r="600" spans="1:26" ht="12.75">
      <c r="A600" s="1"/>
      <c r="B600" s="1"/>
      <c r="C600" s="1"/>
      <c r="D600" s="1"/>
      <c r="E600" s="1"/>
      <c r="F600" s="1"/>
      <c r="G600" s="1"/>
      <c r="J600">
        <f>VLOOKUP(A601,M598:Z628,4,FALSE)</f>
        <v>10.734999999999999</v>
      </c>
      <c r="K600" s="4" t="s">
        <v>14</v>
      </c>
      <c r="M600" s="4" t="s">
        <v>15</v>
      </c>
      <c r="N600" s="4" t="s">
        <v>16</v>
      </c>
      <c r="O600" s="6" t="s">
        <v>17</v>
      </c>
      <c r="P600" s="6" t="s">
        <v>17</v>
      </c>
      <c r="Q600" s="6" t="s">
        <v>18</v>
      </c>
      <c r="R600" s="6" t="s">
        <v>19</v>
      </c>
      <c r="S600" s="6" t="s">
        <v>20</v>
      </c>
      <c r="T600" s="6" t="s">
        <v>21</v>
      </c>
      <c r="U600" s="6" t="s">
        <v>22</v>
      </c>
      <c r="V600" s="6" t="s">
        <v>23</v>
      </c>
      <c r="W600" s="6" t="s">
        <v>24</v>
      </c>
      <c r="Y600" s="6" t="s">
        <v>25</v>
      </c>
      <c r="Z600" s="4" t="s">
        <v>26</v>
      </c>
    </row>
    <row r="601" spans="1:26" ht="12.75">
      <c r="A601" s="11" t="s">
        <v>61</v>
      </c>
      <c r="B601" s="3" t="s">
        <v>28</v>
      </c>
      <c r="C601" s="7"/>
      <c r="D601" s="7"/>
      <c r="E601" s="7"/>
      <c r="F601" s="7"/>
      <c r="G601" s="3" t="s">
        <v>1</v>
      </c>
      <c r="J601">
        <f>(A604)</f>
        <v>0</v>
      </c>
      <c r="K601" s="4" t="s">
        <v>29</v>
      </c>
      <c r="M601" s="21" t="s">
        <v>30</v>
      </c>
      <c r="N601">
        <v>492</v>
      </c>
      <c r="O601">
        <v>11.781000000000001</v>
      </c>
      <c r="P601">
        <v>2.8980000000000001</v>
      </c>
      <c r="Q601">
        <v>4.766</v>
      </c>
      <c r="R601">
        <v>1.282</v>
      </c>
      <c r="S601">
        <v>9.8620000000000001</v>
      </c>
      <c r="T601">
        <v>0</v>
      </c>
      <c r="U601">
        <v>3</v>
      </c>
      <c r="V601">
        <v>6.75</v>
      </c>
      <c r="W601">
        <v>9.375</v>
      </c>
      <c r="X601">
        <v>22</v>
      </c>
      <c r="Y601">
        <v>10.47</v>
      </c>
      <c r="Z601">
        <v>0</v>
      </c>
    </row>
    <row r="602" spans="1:26" ht="12.75">
      <c r="A602" s="319">
        <f>'Estimating Form'!$D$18/12+P956</f>
        <v>1.3333333333333333</v>
      </c>
      <c r="B602" s="3" t="s">
        <v>31</v>
      </c>
      <c r="C602" s="7"/>
      <c r="D602" s="7"/>
      <c r="E602" s="7"/>
      <c r="F602" s="7"/>
      <c r="G602" s="7"/>
      <c r="J602">
        <f>VLOOKUP(A601,M598:Z629,7,FALSE)</f>
        <v>36.527999999999999</v>
      </c>
      <c r="K602" s="4" t="s">
        <v>32</v>
      </c>
      <c r="M602" s="22" t="s">
        <v>33</v>
      </c>
      <c r="N602" s="13">
        <v>492</v>
      </c>
      <c r="O602" s="13">
        <v>11.781000000000001</v>
      </c>
      <c r="P602" s="13">
        <v>5.94</v>
      </c>
      <c r="Q602" s="13">
        <v>8.33</v>
      </c>
      <c r="R602" s="13">
        <v>1.1839999999999999</v>
      </c>
      <c r="S602" s="13">
        <v>20.213999999999999</v>
      </c>
      <c r="T602" s="13">
        <v>0</v>
      </c>
      <c r="U602" s="13">
        <v>3</v>
      </c>
      <c r="V602" s="13">
        <v>6.75</v>
      </c>
      <c r="W602" s="13">
        <v>9.375</v>
      </c>
      <c r="X602" s="13">
        <v>22</v>
      </c>
      <c r="Y602" s="13">
        <v>10.47</v>
      </c>
      <c r="Z602" s="13">
        <v>0</v>
      </c>
    </row>
    <row r="603" spans="1:26" ht="12.75">
      <c r="A603" s="11">
        <v>0</v>
      </c>
      <c r="B603" s="3" t="s">
        <v>34</v>
      </c>
      <c r="C603" s="7"/>
      <c r="D603" s="7"/>
      <c r="E603" s="7"/>
      <c r="F603" s="7"/>
      <c r="G603" s="7"/>
      <c r="J603">
        <f>VLOOKUP(A601,M598:Z628,6,FALSE)</f>
        <v>2.855</v>
      </c>
      <c r="K603" s="4" t="s">
        <v>35</v>
      </c>
      <c r="M603" s="21" t="s">
        <v>36</v>
      </c>
      <c r="N603">
        <v>594</v>
      </c>
      <c r="O603">
        <v>14.93</v>
      </c>
      <c r="P603">
        <v>3.3490000000000002</v>
      </c>
      <c r="Q603">
        <v>7.0650000000000004</v>
      </c>
      <c r="R603">
        <v>1.452</v>
      </c>
      <c r="S603">
        <v>11.396000000000001</v>
      </c>
      <c r="T603">
        <v>9.3125</v>
      </c>
      <c r="U603">
        <v>3</v>
      </c>
      <c r="V603">
        <v>5.5</v>
      </c>
      <c r="W603">
        <v>8.8125</v>
      </c>
      <c r="X603">
        <v>29</v>
      </c>
      <c r="Y603">
        <v>9.52</v>
      </c>
      <c r="Z603">
        <v>16.670000000000002</v>
      </c>
    </row>
    <row r="604" spans="1:26" ht="12.75">
      <c r="A604" s="11">
        <f>'Estimating Form'!$G$22</f>
        <v>0</v>
      </c>
      <c r="B604" s="3" t="s">
        <v>37</v>
      </c>
      <c r="C604" s="7"/>
      <c r="D604" s="7"/>
      <c r="E604" s="7"/>
      <c r="F604" s="7"/>
      <c r="G604" s="7"/>
      <c r="J604">
        <f>(A602*12+A603)</f>
        <v>16</v>
      </c>
      <c r="K604" s="4" t="s">
        <v>38</v>
      </c>
      <c r="M604" s="21" t="s">
        <v>39</v>
      </c>
      <c r="N604">
        <v>594</v>
      </c>
      <c r="O604">
        <v>14.93</v>
      </c>
      <c r="P604">
        <v>5.5170000000000003</v>
      </c>
      <c r="Q604">
        <v>10.686999999999999</v>
      </c>
      <c r="R604">
        <v>1.3919999999999999</v>
      </c>
      <c r="S604">
        <v>18.771999999999998</v>
      </c>
      <c r="T604">
        <v>9.3125</v>
      </c>
      <c r="U604">
        <v>3</v>
      </c>
      <c r="V604">
        <v>5.5</v>
      </c>
      <c r="W604">
        <v>8.8125</v>
      </c>
      <c r="X604">
        <v>29</v>
      </c>
      <c r="Y604">
        <v>9.52</v>
      </c>
      <c r="Z604">
        <v>16.670000000000002</v>
      </c>
    </row>
    <row r="605" spans="1:26" ht="12.75">
      <c r="A605" s="11">
        <f>'Estimating Form'!$D$20</f>
        <v>0</v>
      </c>
      <c r="B605" s="3" t="s">
        <v>40</v>
      </c>
      <c r="C605" s="7"/>
      <c r="D605" s="7"/>
      <c r="E605" s="7"/>
      <c r="F605" s="7"/>
      <c r="G605" s="7"/>
      <c r="J605">
        <f>(A602+A603/12)</f>
        <v>1.3333333333333333</v>
      </c>
      <c r="K605" s="4" t="s">
        <v>41</v>
      </c>
      <c r="M605" s="22" t="s">
        <v>42</v>
      </c>
      <c r="N605" s="13">
        <v>594</v>
      </c>
      <c r="O605" s="13">
        <v>14.93</v>
      </c>
      <c r="P605" s="13">
        <v>7.1269999999999998</v>
      </c>
      <c r="Q605" s="13">
        <v>12.893000000000001</v>
      </c>
      <c r="R605" s="13">
        <v>1.345</v>
      </c>
      <c r="S605" s="13">
        <v>24.251999999999999</v>
      </c>
      <c r="T605" s="13">
        <v>9.3125</v>
      </c>
      <c r="U605" s="13">
        <v>3</v>
      </c>
      <c r="V605" s="13">
        <v>5.5</v>
      </c>
      <c r="W605" s="13">
        <v>8.8125</v>
      </c>
      <c r="X605" s="13">
        <v>29</v>
      </c>
      <c r="Y605" s="13">
        <v>9.52</v>
      </c>
      <c r="Z605" s="13">
        <v>16.670000000000002</v>
      </c>
    </row>
    <row r="606" spans="1:26" ht="12.75">
      <c r="A606" s="11">
        <v>0</v>
      </c>
      <c r="B606" s="3" t="s">
        <v>43</v>
      </c>
      <c r="C606" s="7"/>
      <c r="D606" s="7"/>
      <c r="E606" s="7"/>
      <c r="F606" s="7"/>
      <c r="G606" s="7"/>
      <c r="M606" s="21" t="s">
        <v>44</v>
      </c>
      <c r="N606">
        <v>630</v>
      </c>
      <c r="O606">
        <v>23.114999999999998</v>
      </c>
      <c r="P606">
        <v>4.8</v>
      </c>
      <c r="Q606">
        <v>15.824999999999999</v>
      </c>
      <c r="R606">
        <v>1.8160000000000001</v>
      </c>
      <c r="S606">
        <v>16.332999999999998</v>
      </c>
      <c r="T606">
        <v>9.75</v>
      </c>
      <c r="U606">
        <v>3</v>
      </c>
      <c r="V606">
        <v>5.5</v>
      </c>
      <c r="W606">
        <v>9.1875</v>
      </c>
      <c r="X606">
        <v>43</v>
      </c>
      <c r="Y606">
        <v>6.95</v>
      </c>
      <c r="Z606">
        <v>10.9</v>
      </c>
    </row>
    <row r="607" spans="1:26" ht="12.75">
      <c r="A607" s="7"/>
      <c r="B607" s="7"/>
      <c r="C607" s="7"/>
      <c r="D607" s="7"/>
      <c r="E607" s="7"/>
      <c r="F607" s="7"/>
      <c r="G607" s="7"/>
      <c r="J607">
        <f>(J599*J600/(J601+(J602*J605/2)))*(J603/J604)^2</f>
        <v>4000226.0485334569</v>
      </c>
      <c r="M607" s="21" t="s">
        <v>45</v>
      </c>
      <c r="N607">
        <v>630</v>
      </c>
      <c r="O607">
        <v>23.114999999999998</v>
      </c>
      <c r="P607">
        <v>6.59</v>
      </c>
      <c r="Q607">
        <v>20.786000000000001</v>
      </c>
      <c r="R607">
        <v>1.776</v>
      </c>
      <c r="S607">
        <v>22.422000000000001</v>
      </c>
      <c r="T607">
        <v>9.75</v>
      </c>
      <c r="U607">
        <v>3</v>
      </c>
      <c r="V607">
        <v>5.5</v>
      </c>
      <c r="W607">
        <v>9.1875</v>
      </c>
      <c r="X607">
        <v>43</v>
      </c>
      <c r="Y607">
        <v>6.95</v>
      </c>
      <c r="Z607">
        <v>10.9</v>
      </c>
    </row>
    <row r="608" spans="1:26" ht="12.75">
      <c r="A608" s="12">
        <f>(J607)</f>
        <v>4000226.0485334569</v>
      </c>
      <c r="B608" s="3" t="s">
        <v>46</v>
      </c>
      <c r="C608" s="7"/>
      <c r="D608" s="7"/>
      <c r="E608" s="7"/>
      <c r="F608" s="7"/>
      <c r="G608" s="7"/>
      <c r="M608" s="21" t="s">
        <v>47</v>
      </c>
      <c r="N608">
        <v>630</v>
      </c>
      <c r="O608">
        <v>23.114999999999998</v>
      </c>
      <c r="P608">
        <v>8.5050000000000008</v>
      </c>
      <c r="Q608">
        <v>25.532</v>
      </c>
      <c r="R608">
        <v>1.7330000000000001</v>
      </c>
      <c r="S608">
        <v>28.94</v>
      </c>
      <c r="T608">
        <v>9.75</v>
      </c>
      <c r="U608">
        <v>3</v>
      </c>
      <c r="V608">
        <v>5.5</v>
      </c>
      <c r="W608">
        <v>9.1875</v>
      </c>
      <c r="X608">
        <v>43</v>
      </c>
      <c r="Y608">
        <v>6.95</v>
      </c>
      <c r="Z608">
        <v>10.9</v>
      </c>
    </row>
    <row r="609" spans="1:26" ht="12.75">
      <c r="A609" s="12">
        <f>(J613)</f>
        <v>0</v>
      </c>
      <c r="B609" s="3" t="s">
        <v>48</v>
      </c>
      <c r="C609" s="7"/>
      <c r="D609" s="7"/>
      <c r="E609" s="7"/>
      <c r="F609" s="7"/>
      <c r="G609" s="7"/>
      <c r="J609" s="4" t="s">
        <v>49</v>
      </c>
      <c r="M609" s="22" t="s">
        <v>50</v>
      </c>
      <c r="N609" s="13">
        <v>234</v>
      </c>
      <c r="O609" s="13">
        <v>23.114999999999998</v>
      </c>
      <c r="P609" s="13">
        <v>10.148999999999999</v>
      </c>
      <c r="Q609" s="13">
        <v>29.140999999999998</v>
      </c>
      <c r="R609" s="13">
        <v>1.694</v>
      </c>
      <c r="S609" s="13">
        <v>34.436</v>
      </c>
      <c r="T609" s="13">
        <v>9.75</v>
      </c>
      <c r="U609" s="13">
        <v>3</v>
      </c>
      <c r="V609" s="13">
        <v>5.5</v>
      </c>
      <c r="W609" s="13">
        <v>9.1875</v>
      </c>
      <c r="X609" s="13">
        <v>43</v>
      </c>
      <c r="Y609" s="13">
        <v>6.95</v>
      </c>
      <c r="Z609" s="13">
        <v>10.9</v>
      </c>
    </row>
    <row r="610" spans="1:26" ht="12.75">
      <c r="A610" s="11">
        <f>'Estimating Form'!$D$18/12+P957</f>
        <v>1.7760416666666667</v>
      </c>
      <c r="B610" s="3" t="s">
        <v>957</v>
      </c>
      <c r="J610">
        <f>VLOOKUP(A601,M598:Z628,IF(A606=1,13,12)+1,FALSE)</f>
        <v>1.82</v>
      </c>
      <c r="K610" s="4" t="s">
        <v>51</v>
      </c>
      <c r="M610" s="21" t="s">
        <v>27</v>
      </c>
      <c r="N610">
        <v>630</v>
      </c>
      <c r="O610">
        <v>33.03</v>
      </c>
      <c r="P610">
        <v>5.9219999999999997</v>
      </c>
      <c r="Q610">
        <v>28.338999999999999</v>
      </c>
      <c r="R610">
        <v>2.1880000000000002</v>
      </c>
      <c r="S610">
        <v>20.149999999999999</v>
      </c>
      <c r="T610">
        <v>9.75</v>
      </c>
      <c r="U610">
        <v>3</v>
      </c>
      <c r="V610">
        <v>5.5</v>
      </c>
      <c r="W610">
        <v>9.1875</v>
      </c>
      <c r="X610">
        <v>43</v>
      </c>
      <c r="Y610">
        <v>3.41</v>
      </c>
      <c r="Z610">
        <v>5.34</v>
      </c>
    </row>
    <row r="611" spans="1:26">
      <c r="A611" s="8"/>
      <c r="B611" s="4"/>
      <c r="J611">
        <f>(A605)</f>
        <v>0</v>
      </c>
      <c r="K611" s="4" t="s">
        <v>52</v>
      </c>
      <c r="M611" s="21" t="s">
        <v>53</v>
      </c>
      <c r="N611">
        <v>630</v>
      </c>
      <c r="O611">
        <v>33.03</v>
      </c>
      <c r="P611">
        <v>9.2799999999999994</v>
      </c>
      <c r="Q611">
        <v>41.933</v>
      </c>
      <c r="R611">
        <v>2.1259999999999999</v>
      </c>
      <c r="S611">
        <v>31.579000000000001</v>
      </c>
      <c r="T611">
        <v>9.75</v>
      </c>
      <c r="U611">
        <v>3</v>
      </c>
      <c r="V611">
        <v>5.5</v>
      </c>
      <c r="W611">
        <v>9.1875</v>
      </c>
      <c r="X611">
        <v>43</v>
      </c>
      <c r="Y611">
        <v>3.41</v>
      </c>
      <c r="Z611">
        <v>5.34</v>
      </c>
    </row>
    <row r="612" spans="1:26">
      <c r="A612" s="8"/>
      <c r="B612" s="9"/>
      <c r="M612" s="21" t="s">
        <v>54</v>
      </c>
      <c r="N612">
        <v>630</v>
      </c>
      <c r="O612">
        <v>33.03</v>
      </c>
      <c r="P612">
        <v>11.898999999999999</v>
      </c>
      <c r="Q612">
        <v>51.284999999999997</v>
      </c>
      <c r="R612">
        <v>2.0760000000000001</v>
      </c>
      <c r="S612">
        <v>40.488999999999997</v>
      </c>
      <c r="T612">
        <v>9.75</v>
      </c>
      <c r="U612">
        <v>3</v>
      </c>
      <c r="V612">
        <v>5.5</v>
      </c>
      <c r="W612">
        <v>9.1875</v>
      </c>
      <c r="X612">
        <v>43</v>
      </c>
      <c r="Y612">
        <v>3.41</v>
      </c>
      <c r="Z612">
        <v>5.34</v>
      </c>
    </row>
    <row r="613" spans="1:26">
      <c r="A613" s="8"/>
      <c r="B613" s="9"/>
      <c r="J613">
        <f>(J610*(J605+4)*J611*10^-6)</f>
        <v>0</v>
      </c>
      <c r="M613" s="22" t="s">
        <v>55</v>
      </c>
      <c r="N613" s="13">
        <v>630</v>
      </c>
      <c r="O613" s="13">
        <v>33.03</v>
      </c>
      <c r="P613" s="13">
        <v>14.196</v>
      </c>
      <c r="Q613" s="13">
        <v>58.588999999999999</v>
      </c>
      <c r="R613" s="13">
        <v>2.032</v>
      </c>
      <c r="S613" s="13">
        <v>48.304000000000002</v>
      </c>
      <c r="T613" s="13">
        <v>9.75</v>
      </c>
      <c r="U613" s="13">
        <v>3</v>
      </c>
      <c r="V613" s="13">
        <v>5.5</v>
      </c>
      <c r="W613" s="13">
        <v>9.1875</v>
      </c>
      <c r="X613" s="13">
        <v>43</v>
      </c>
      <c r="Y613" s="13">
        <v>3.41</v>
      </c>
      <c r="Z613" s="13">
        <v>5.34</v>
      </c>
    </row>
    <row r="614" spans="1:26">
      <c r="A614" s="8"/>
      <c r="M614" s="21" t="s">
        <v>56</v>
      </c>
      <c r="N614">
        <v>630</v>
      </c>
      <c r="O614">
        <v>44.031999999999996</v>
      </c>
      <c r="P614">
        <v>8.109</v>
      </c>
      <c r="Q614">
        <v>51.593000000000004</v>
      </c>
      <c r="R614">
        <v>2.5219999999999998</v>
      </c>
      <c r="S614">
        <v>27.591999999999999</v>
      </c>
      <c r="T614">
        <v>10.9375</v>
      </c>
      <c r="U614">
        <v>2.5</v>
      </c>
      <c r="V614">
        <v>6</v>
      </c>
      <c r="W614">
        <v>9.9375</v>
      </c>
      <c r="X614">
        <v>61</v>
      </c>
      <c r="Y614">
        <v>3</v>
      </c>
      <c r="Z614">
        <v>4.29</v>
      </c>
    </row>
    <row r="615" spans="1:26">
      <c r="A615" s="8"/>
      <c r="B615" s="9"/>
      <c r="M615" s="21" t="s">
        <v>57</v>
      </c>
      <c r="N615">
        <v>630</v>
      </c>
      <c r="O615">
        <v>44.031999999999996</v>
      </c>
      <c r="P615">
        <v>9.4350000000000005</v>
      </c>
      <c r="Q615">
        <v>59.033999999999999</v>
      </c>
      <c r="R615">
        <v>2.5009999999999999</v>
      </c>
      <c r="S615">
        <v>32.103999999999999</v>
      </c>
      <c r="T615">
        <v>10.9375</v>
      </c>
      <c r="U615">
        <v>2.5</v>
      </c>
      <c r="V615">
        <v>6</v>
      </c>
      <c r="W615">
        <v>9.9375</v>
      </c>
      <c r="X615">
        <v>61</v>
      </c>
      <c r="Y615">
        <v>3</v>
      </c>
      <c r="Z615">
        <v>4.29</v>
      </c>
    </row>
    <row r="616" spans="1:26" ht="15.75">
      <c r="A616" s="37"/>
      <c r="B616" s="97"/>
      <c r="C616" s="515" t="s">
        <v>93</v>
      </c>
      <c r="D616" s="515"/>
      <c r="E616" s="40">
        <f>(B617-A605)/(O619)-(0.39*A602)</f>
        <v>0.11453827017568663</v>
      </c>
      <c r="M616" s="23" t="s">
        <v>59</v>
      </c>
      <c r="N616">
        <v>630</v>
      </c>
      <c r="O616">
        <v>44.031999999999996</v>
      </c>
      <c r="P616">
        <v>14.49</v>
      </c>
      <c r="Q616">
        <v>84.834000000000003</v>
      </c>
      <c r="R616">
        <v>2.42</v>
      </c>
      <c r="S616">
        <v>49.305</v>
      </c>
      <c r="T616">
        <v>10.9375</v>
      </c>
      <c r="U616">
        <v>2.5</v>
      </c>
      <c r="V616">
        <v>6</v>
      </c>
      <c r="W616">
        <v>9.9375</v>
      </c>
      <c r="X616">
        <v>61</v>
      </c>
      <c r="Y616">
        <v>3</v>
      </c>
      <c r="Z616">
        <v>4.29</v>
      </c>
    </row>
    <row r="617" spans="1:26" ht="15.75">
      <c r="A617" s="37" t="s">
        <v>98</v>
      </c>
      <c r="B617" s="41">
        <f>A604+B621</f>
        <v>35.900906249999998</v>
      </c>
      <c r="C617" s="516" t="s">
        <v>99</v>
      </c>
      <c r="D617" s="516"/>
      <c r="E617" s="42">
        <f>((B617/(O619))*1.1)</f>
        <v>0.69799209719325539</v>
      </c>
      <c r="M617" s="24" t="s">
        <v>58</v>
      </c>
      <c r="N617" s="13">
        <v>630</v>
      </c>
      <c r="O617" s="13">
        <v>44.031999999999996</v>
      </c>
      <c r="P617" s="13">
        <v>19.181000000000001</v>
      </c>
      <c r="Q617" s="13">
        <v>105.14</v>
      </c>
      <c r="R617" s="13">
        <v>2.3410000000000002</v>
      </c>
      <c r="S617" s="13">
        <v>65.268000000000001</v>
      </c>
      <c r="T617" s="13">
        <v>10.9375</v>
      </c>
      <c r="U617" s="13">
        <v>2.5</v>
      </c>
      <c r="V617" s="13">
        <v>6</v>
      </c>
      <c r="W617" s="13">
        <v>9.9375</v>
      </c>
      <c r="X617" s="13">
        <v>61</v>
      </c>
      <c r="Y617" s="13">
        <v>3</v>
      </c>
      <c r="Z617" s="13">
        <v>4.29</v>
      </c>
    </row>
    <row r="618" spans="1:26" ht="15">
      <c r="A618" s="37"/>
      <c r="B618" s="38"/>
      <c r="C618" s="517" t="s">
        <v>106</v>
      </c>
      <c r="D618" s="514" t="str">
        <f>IF(E616&gt;90,"Good!","Too Low, increase GLOPU or decrease jack diameter, if above 50 use ASK ENGINEERING")</f>
        <v>Too Low, increase GLOPU or decrease jack diameter, if above 50 use ASK ENGINEERING</v>
      </c>
      <c r="E618" s="514"/>
      <c r="F618" s="10"/>
      <c r="M618" s="21" t="s">
        <v>60</v>
      </c>
      <c r="N618">
        <v>630</v>
      </c>
      <c r="O618">
        <v>56.578000000000003</v>
      </c>
      <c r="P618">
        <v>9.2829999999999995</v>
      </c>
      <c r="Q618">
        <v>76.736999999999995</v>
      </c>
      <c r="R618">
        <v>2.875</v>
      </c>
      <c r="S618">
        <v>31.588999999999999</v>
      </c>
      <c r="T618">
        <v>10.9375</v>
      </c>
      <c r="U618">
        <v>2.5</v>
      </c>
      <c r="V618">
        <v>6</v>
      </c>
      <c r="W618">
        <v>9.9375</v>
      </c>
      <c r="X618">
        <v>61</v>
      </c>
      <c r="Y618">
        <v>1.82</v>
      </c>
      <c r="Z618">
        <v>2.6</v>
      </c>
    </row>
    <row r="619" spans="1:26" ht="15.75" thickBot="1">
      <c r="A619" s="37"/>
      <c r="B619" s="44"/>
      <c r="C619" s="518"/>
      <c r="D619" s="519"/>
      <c r="E619" s="519"/>
      <c r="M619" s="21" t="s">
        <v>61</v>
      </c>
      <c r="N619">
        <v>630</v>
      </c>
      <c r="O619">
        <v>56.578000000000003</v>
      </c>
      <c r="P619">
        <v>10.734999999999999</v>
      </c>
      <c r="Q619">
        <v>87.494</v>
      </c>
      <c r="R619">
        <v>2.855</v>
      </c>
      <c r="S619">
        <v>36.527999999999999</v>
      </c>
      <c r="T619">
        <v>10.9375</v>
      </c>
      <c r="U619">
        <v>2.5</v>
      </c>
      <c r="V619">
        <v>6</v>
      </c>
      <c r="W619">
        <v>9.9375</v>
      </c>
      <c r="X619">
        <v>61</v>
      </c>
      <c r="Y619">
        <v>1.82</v>
      </c>
      <c r="Z619">
        <v>2.6</v>
      </c>
    </row>
    <row r="620" spans="1:26" ht="15">
      <c r="A620" s="37"/>
      <c r="B620" s="39"/>
      <c r="C620" s="512" t="s">
        <v>118</v>
      </c>
      <c r="D620" s="514" t="str">
        <f>IF(E617&gt;500,"Too High, reduce GLOPU or increase plunger diameter","Good!")</f>
        <v>Good!</v>
      </c>
      <c r="E620" s="514"/>
      <c r="M620" s="24" t="s">
        <v>70</v>
      </c>
      <c r="N620" s="13">
        <v>630</v>
      </c>
      <c r="O620" s="13">
        <v>56.578000000000003</v>
      </c>
      <c r="P620" s="13">
        <v>15.885999999999999</v>
      </c>
      <c r="Q620" s="13">
        <v>122.965</v>
      </c>
      <c r="R620" s="13">
        <v>2.782</v>
      </c>
      <c r="S620" s="13">
        <v>54.055</v>
      </c>
      <c r="T620" s="13">
        <v>10.9375</v>
      </c>
      <c r="U620" s="13">
        <v>2.5</v>
      </c>
      <c r="V620" s="13">
        <v>6</v>
      </c>
      <c r="W620" s="13">
        <v>9.9375</v>
      </c>
      <c r="X620" s="13">
        <v>61</v>
      </c>
      <c r="Y620" s="13">
        <v>1.82</v>
      </c>
      <c r="Z620" s="13">
        <v>2.6</v>
      </c>
    </row>
    <row r="621" spans="1:26" ht="15">
      <c r="A621" s="46" t="s">
        <v>122</v>
      </c>
      <c r="B621" s="96">
        <f>S602*A610</f>
        <v>35.900906249999998</v>
      </c>
      <c r="C621" s="513"/>
      <c r="D621" s="514"/>
      <c r="E621" s="514"/>
      <c r="M621" s="21" t="s">
        <v>62</v>
      </c>
      <c r="N621">
        <v>537</v>
      </c>
      <c r="O621">
        <v>70.695999999999998</v>
      </c>
      <c r="P621">
        <v>12.27</v>
      </c>
      <c r="Q621">
        <v>126.072</v>
      </c>
      <c r="R621">
        <v>3.2050000000000001</v>
      </c>
      <c r="S621">
        <v>41.75</v>
      </c>
      <c r="T621">
        <v>14.375</v>
      </c>
      <c r="U621">
        <v>2.5</v>
      </c>
      <c r="V621">
        <v>6</v>
      </c>
      <c r="W621">
        <v>12.9375</v>
      </c>
      <c r="X621">
        <v>80</v>
      </c>
      <c r="Y621">
        <v>1.66</v>
      </c>
      <c r="Z621">
        <v>2.62</v>
      </c>
    </row>
    <row r="622" spans="1:26">
      <c r="E622" s="10"/>
      <c r="F622" s="10"/>
      <c r="M622" s="22" t="s">
        <v>63</v>
      </c>
      <c r="N622" s="13">
        <v>537</v>
      </c>
      <c r="O622" s="13">
        <v>70.695999999999998</v>
      </c>
      <c r="P622" s="13">
        <v>18.847000000000001</v>
      </c>
      <c r="Q622" s="13">
        <v>183.79400000000001</v>
      </c>
      <c r="R622" s="13">
        <v>3.1230000000000002</v>
      </c>
      <c r="S622" s="13">
        <v>64.132000000000005</v>
      </c>
      <c r="T622" s="13">
        <v>14.375</v>
      </c>
      <c r="U622" s="13">
        <v>2.5</v>
      </c>
      <c r="V622" s="13">
        <v>6</v>
      </c>
      <c r="W622" s="13">
        <v>12.9375</v>
      </c>
      <c r="X622" s="13">
        <v>80</v>
      </c>
      <c r="Y622" s="13">
        <v>1.66</v>
      </c>
      <c r="Z622" s="13">
        <v>2.62</v>
      </c>
    </row>
    <row r="623" spans="1:26">
      <c r="A623" s="8"/>
      <c r="B623" s="9"/>
      <c r="M623" s="21" t="s">
        <v>64</v>
      </c>
      <c r="N623">
        <v>537</v>
      </c>
      <c r="O623">
        <v>88.456000000000003</v>
      </c>
      <c r="P623">
        <v>13.656000000000001</v>
      </c>
      <c r="Q623">
        <v>177.40799999999999</v>
      </c>
      <c r="R623">
        <v>3.6040000000000001</v>
      </c>
      <c r="S623">
        <v>46.466999999999999</v>
      </c>
      <c r="T623">
        <v>14.375</v>
      </c>
      <c r="U623">
        <v>2.5</v>
      </c>
      <c r="V623">
        <v>6</v>
      </c>
      <c r="W623">
        <v>13.3125</v>
      </c>
      <c r="X623">
        <v>80</v>
      </c>
      <c r="Y623">
        <v>1.06</v>
      </c>
      <c r="Z623">
        <v>1.67</v>
      </c>
    </row>
    <row r="624" spans="1:26">
      <c r="B624" s="9"/>
      <c r="M624" s="21" t="s">
        <v>65</v>
      </c>
      <c r="N624">
        <v>537</v>
      </c>
      <c r="O624">
        <v>88.456000000000003</v>
      </c>
      <c r="P624">
        <v>16.48</v>
      </c>
      <c r="Q624">
        <v>210.39400000000001</v>
      </c>
      <c r="R624">
        <v>3.573</v>
      </c>
      <c r="S624">
        <v>56.076999999999998</v>
      </c>
      <c r="T624">
        <v>14.375</v>
      </c>
      <c r="U624">
        <v>2.5</v>
      </c>
      <c r="V624">
        <v>6</v>
      </c>
      <c r="W624">
        <v>13.3125</v>
      </c>
      <c r="X624">
        <v>80</v>
      </c>
      <c r="Y624">
        <v>1.06</v>
      </c>
      <c r="Z624">
        <v>1.67</v>
      </c>
    </row>
    <row r="625" spans="1:26">
      <c r="B625" s="9"/>
      <c r="M625" s="22" t="s">
        <v>66</v>
      </c>
      <c r="N625" s="13">
        <v>537</v>
      </c>
      <c r="O625" s="13">
        <v>88.456000000000003</v>
      </c>
      <c r="P625" s="13">
        <v>20.350999999999999</v>
      </c>
      <c r="Q625" s="13">
        <v>253.547</v>
      </c>
      <c r="R625" s="13">
        <v>3.53</v>
      </c>
      <c r="S625" s="13">
        <v>69.248999999999995</v>
      </c>
      <c r="T625" s="13">
        <v>14.375</v>
      </c>
      <c r="U625" s="13">
        <v>2.5</v>
      </c>
      <c r="V625" s="13">
        <v>6</v>
      </c>
      <c r="W625" s="13">
        <v>13.3125</v>
      </c>
      <c r="X625" s="13">
        <v>80</v>
      </c>
      <c r="Y625" s="13">
        <v>1.06</v>
      </c>
      <c r="Z625" s="13">
        <v>1.67</v>
      </c>
    </row>
    <row r="626" spans="1:26">
      <c r="M626" s="21" t="s">
        <v>67</v>
      </c>
      <c r="N626">
        <v>449</v>
      </c>
      <c r="O626">
        <v>124.937</v>
      </c>
      <c r="P626">
        <v>16.503</v>
      </c>
      <c r="Q626">
        <v>306.48500000000001</v>
      </c>
      <c r="R626">
        <v>4.3090000000000002</v>
      </c>
      <c r="S626">
        <v>56.155999999999999</v>
      </c>
      <c r="T626">
        <v>0</v>
      </c>
      <c r="U626">
        <v>2.5</v>
      </c>
      <c r="V626">
        <v>6</v>
      </c>
      <c r="W626">
        <v>15.3125</v>
      </c>
      <c r="X626">
        <v>125</v>
      </c>
      <c r="Y626">
        <v>0.83899999999999997</v>
      </c>
      <c r="Z626">
        <v>0</v>
      </c>
    </row>
    <row r="627" spans="1:26">
      <c r="M627" s="22" t="s">
        <v>68</v>
      </c>
      <c r="N627" s="13">
        <v>449</v>
      </c>
      <c r="O627" s="13">
        <v>124.937</v>
      </c>
      <c r="P627" s="13">
        <v>18.78</v>
      </c>
      <c r="Q627" s="13">
        <v>345.36099999999999</v>
      </c>
      <c r="R627" s="13">
        <v>4.2880000000000003</v>
      </c>
      <c r="S627" s="13">
        <v>63.902999999999999</v>
      </c>
      <c r="T627" s="13">
        <v>0</v>
      </c>
      <c r="U627" s="13">
        <v>2.5</v>
      </c>
      <c r="V627" s="13">
        <v>6</v>
      </c>
      <c r="W627" s="13">
        <v>15.3125</v>
      </c>
      <c r="X627" s="13">
        <v>125</v>
      </c>
      <c r="Y627" s="13">
        <v>0.83899999999999997</v>
      </c>
      <c r="Z627" s="13">
        <v>0</v>
      </c>
    </row>
    <row r="628" spans="1:26">
      <c r="M628" s="22" t="s">
        <v>69</v>
      </c>
      <c r="N628" s="14">
        <v>449</v>
      </c>
      <c r="O628" s="14">
        <v>194.51900000000001</v>
      </c>
      <c r="P628" s="14">
        <v>25.079000000000001</v>
      </c>
      <c r="Q628" s="14">
        <v>726.36</v>
      </c>
      <c r="R628" s="14">
        <v>5.3819999999999997</v>
      </c>
      <c r="S628" s="14">
        <v>85.337000000000003</v>
      </c>
      <c r="T628" s="14">
        <v>0</v>
      </c>
      <c r="U628" s="14">
        <v>6</v>
      </c>
      <c r="V628" s="14">
        <v>6</v>
      </c>
      <c r="W628" s="14">
        <v>15.375</v>
      </c>
      <c r="X628" s="14">
        <v>192</v>
      </c>
      <c r="Y628" s="14">
        <v>0.54300000000000004</v>
      </c>
      <c r="Z628" s="14">
        <v>0</v>
      </c>
    </row>
    <row r="631" spans="1:26" ht="12.75">
      <c r="A631" s="3"/>
      <c r="B631" s="15"/>
      <c r="C631" s="16"/>
      <c r="D631" s="16"/>
      <c r="E631" s="16"/>
      <c r="F631" s="16"/>
      <c r="G631" s="20"/>
      <c r="H631" s="4" t="s">
        <v>1</v>
      </c>
      <c r="J631" s="4" t="s">
        <v>2</v>
      </c>
      <c r="M631" s="4" t="s">
        <v>3</v>
      </c>
    </row>
    <row r="632" spans="1:26" ht="12.75">
      <c r="A632" s="1"/>
      <c r="B632" s="1"/>
      <c r="C632" s="1"/>
      <c r="D632" s="1"/>
      <c r="E632" s="1"/>
      <c r="F632" s="1"/>
      <c r="G632" s="1"/>
      <c r="J632" s="5">
        <f>2.85*10^8</f>
        <v>285000000</v>
      </c>
      <c r="K632" s="4" t="s">
        <v>4</v>
      </c>
      <c r="N632" s="4" t="s">
        <v>5</v>
      </c>
      <c r="O632" s="6" t="s">
        <v>6</v>
      </c>
      <c r="P632" s="6" t="s">
        <v>7</v>
      </c>
      <c r="Q632" s="6" t="s">
        <v>8</v>
      </c>
      <c r="R632" s="6" t="s">
        <v>9</v>
      </c>
      <c r="S632" s="6" t="s">
        <v>10</v>
      </c>
      <c r="T632" s="6" t="s">
        <v>11</v>
      </c>
      <c r="U632" s="6" t="s">
        <v>11</v>
      </c>
      <c r="V632" s="6" t="s">
        <v>11</v>
      </c>
      <c r="W632" s="6" t="s">
        <v>11</v>
      </c>
      <c r="X632" s="6" t="s">
        <v>12</v>
      </c>
      <c r="Y632" s="520" t="s">
        <v>13</v>
      </c>
      <c r="Z632" s="520"/>
    </row>
    <row r="633" spans="1:26" ht="12.75">
      <c r="A633" s="1"/>
      <c r="B633" s="1"/>
      <c r="C633" s="1"/>
      <c r="D633" s="1"/>
      <c r="E633" s="1"/>
      <c r="F633" s="1"/>
      <c r="G633" s="1"/>
      <c r="J633">
        <f>VLOOKUP(A634,M631:Z661,4,FALSE)</f>
        <v>15.885999999999999</v>
      </c>
      <c r="K633" s="4" t="s">
        <v>14</v>
      </c>
      <c r="M633" s="4" t="s">
        <v>15</v>
      </c>
      <c r="N633" s="4" t="s">
        <v>16</v>
      </c>
      <c r="O633" s="6" t="s">
        <v>17</v>
      </c>
      <c r="P633" s="6" t="s">
        <v>17</v>
      </c>
      <c r="Q633" s="6" t="s">
        <v>18</v>
      </c>
      <c r="R633" s="6" t="s">
        <v>19</v>
      </c>
      <c r="S633" s="6" t="s">
        <v>20</v>
      </c>
      <c r="T633" s="6" t="s">
        <v>21</v>
      </c>
      <c r="U633" s="6" t="s">
        <v>22</v>
      </c>
      <c r="V633" s="6" t="s">
        <v>23</v>
      </c>
      <c r="W633" s="6" t="s">
        <v>24</v>
      </c>
      <c r="Y633" s="6" t="s">
        <v>25</v>
      </c>
      <c r="Z633" s="4" t="s">
        <v>26</v>
      </c>
    </row>
    <row r="634" spans="1:26" ht="12.75">
      <c r="A634" s="11" t="s">
        <v>70</v>
      </c>
      <c r="B634" s="3" t="s">
        <v>28</v>
      </c>
      <c r="C634" s="7"/>
      <c r="D634" s="7"/>
      <c r="E634" s="7"/>
      <c r="F634" s="7"/>
      <c r="G634" s="3" t="s">
        <v>1</v>
      </c>
      <c r="J634">
        <f>(A637)</f>
        <v>0</v>
      </c>
      <c r="K634" s="4" t="s">
        <v>29</v>
      </c>
      <c r="M634" s="21" t="s">
        <v>30</v>
      </c>
      <c r="N634">
        <v>492</v>
      </c>
      <c r="O634">
        <v>11.781000000000001</v>
      </c>
      <c r="P634">
        <v>2.8980000000000001</v>
      </c>
      <c r="Q634">
        <v>4.766</v>
      </c>
      <c r="R634">
        <v>1.282</v>
      </c>
      <c r="S634">
        <v>9.8620000000000001</v>
      </c>
      <c r="T634">
        <v>0</v>
      </c>
      <c r="U634">
        <v>3</v>
      </c>
      <c r="V634">
        <v>6.75</v>
      </c>
      <c r="W634">
        <v>9.375</v>
      </c>
      <c r="X634">
        <v>22</v>
      </c>
      <c r="Y634">
        <v>10.47</v>
      </c>
      <c r="Z634">
        <v>0</v>
      </c>
    </row>
    <row r="635" spans="1:26" ht="12.75">
      <c r="A635" s="319">
        <f>'Estimating Form'!$D$18/12+P956</f>
        <v>1.3333333333333333</v>
      </c>
      <c r="B635" s="3" t="s">
        <v>31</v>
      </c>
      <c r="C635" s="7"/>
      <c r="D635" s="7"/>
      <c r="E635" s="7"/>
      <c r="F635" s="7"/>
      <c r="G635" s="7"/>
      <c r="J635">
        <f>VLOOKUP(A634,M631:Z662,7,FALSE)</f>
        <v>54.055</v>
      </c>
      <c r="K635" s="4" t="s">
        <v>32</v>
      </c>
      <c r="M635" s="22" t="s">
        <v>33</v>
      </c>
      <c r="N635" s="13">
        <v>492</v>
      </c>
      <c r="O635" s="13">
        <v>11.781000000000001</v>
      </c>
      <c r="P635" s="13">
        <v>5.94</v>
      </c>
      <c r="Q635" s="13">
        <v>8.33</v>
      </c>
      <c r="R635" s="13">
        <v>1.1839999999999999</v>
      </c>
      <c r="S635" s="13">
        <v>20.213999999999999</v>
      </c>
      <c r="T635" s="13">
        <v>0</v>
      </c>
      <c r="U635" s="13">
        <v>3</v>
      </c>
      <c r="V635" s="13">
        <v>6.75</v>
      </c>
      <c r="W635" s="13">
        <v>9.375</v>
      </c>
      <c r="X635" s="13">
        <v>22</v>
      </c>
      <c r="Y635" s="13">
        <v>10.47</v>
      </c>
      <c r="Z635" s="13">
        <v>0</v>
      </c>
    </row>
    <row r="636" spans="1:26" ht="12.75">
      <c r="A636" s="11">
        <v>0</v>
      </c>
      <c r="B636" s="3" t="s">
        <v>34</v>
      </c>
      <c r="C636" s="7"/>
      <c r="D636" s="7"/>
      <c r="E636" s="7"/>
      <c r="F636" s="7"/>
      <c r="G636" s="7"/>
      <c r="J636">
        <f>VLOOKUP(A634,M631:Z661,6,FALSE)</f>
        <v>2.782</v>
      </c>
      <c r="K636" s="4" t="s">
        <v>35</v>
      </c>
      <c r="M636" s="21" t="s">
        <v>36</v>
      </c>
      <c r="N636">
        <v>594</v>
      </c>
      <c r="O636">
        <v>14.93</v>
      </c>
      <c r="P636">
        <v>3.3490000000000002</v>
      </c>
      <c r="Q636">
        <v>7.0650000000000004</v>
      </c>
      <c r="R636">
        <v>1.452</v>
      </c>
      <c r="S636">
        <v>11.396000000000001</v>
      </c>
      <c r="T636">
        <v>9.3125</v>
      </c>
      <c r="U636">
        <v>3</v>
      </c>
      <c r="V636">
        <v>5.5</v>
      </c>
      <c r="W636">
        <v>8.8125</v>
      </c>
      <c r="X636">
        <v>29</v>
      </c>
      <c r="Y636">
        <v>9.52</v>
      </c>
      <c r="Z636">
        <v>16.670000000000002</v>
      </c>
    </row>
    <row r="637" spans="1:26" ht="12.75">
      <c r="A637" s="11">
        <f>'Estimating Form'!$G$22</f>
        <v>0</v>
      </c>
      <c r="B637" s="3" t="s">
        <v>37</v>
      </c>
      <c r="C637" s="7"/>
      <c r="D637" s="7"/>
      <c r="E637" s="7"/>
      <c r="F637" s="7"/>
      <c r="G637" s="7"/>
      <c r="J637">
        <f>(A635*12+A636)</f>
        <v>16</v>
      </c>
      <c r="K637" s="4" t="s">
        <v>38</v>
      </c>
      <c r="M637" s="21" t="s">
        <v>39</v>
      </c>
      <c r="N637">
        <v>594</v>
      </c>
      <c r="O637">
        <v>14.93</v>
      </c>
      <c r="P637">
        <v>5.5170000000000003</v>
      </c>
      <c r="Q637">
        <v>10.686999999999999</v>
      </c>
      <c r="R637">
        <v>1.3919999999999999</v>
      </c>
      <c r="S637">
        <v>18.771999999999998</v>
      </c>
      <c r="T637">
        <v>9.3125</v>
      </c>
      <c r="U637">
        <v>3</v>
      </c>
      <c r="V637">
        <v>5.5</v>
      </c>
      <c r="W637">
        <v>8.8125</v>
      </c>
      <c r="X637">
        <v>29</v>
      </c>
      <c r="Y637">
        <v>9.52</v>
      </c>
      <c r="Z637">
        <v>16.670000000000002</v>
      </c>
    </row>
    <row r="638" spans="1:26" ht="12.75">
      <c r="A638" s="11">
        <f>'Estimating Form'!$D$20</f>
        <v>0</v>
      </c>
      <c r="B638" s="3" t="s">
        <v>40</v>
      </c>
      <c r="C638" s="7"/>
      <c r="D638" s="7"/>
      <c r="E638" s="7"/>
      <c r="F638" s="7"/>
      <c r="G638" s="7"/>
      <c r="J638">
        <f>(A635+A636/12)</f>
        <v>1.3333333333333333</v>
      </c>
      <c r="K638" s="4" t="s">
        <v>41</v>
      </c>
      <c r="M638" s="22" t="s">
        <v>42</v>
      </c>
      <c r="N638" s="13">
        <v>594</v>
      </c>
      <c r="O638" s="13">
        <v>14.93</v>
      </c>
      <c r="P638" s="13">
        <v>7.1269999999999998</v>
      </c>
      <c r="Q638" s="13">
        <v>12.893000000000001</v>
      </c>
      <c r="R638" s="13">
        <v>1.345</v>
      </c>
      <c r="S638" s="13">
        <v>24.251999999999999</v>
      </c>
      <c r="T638" s="13">
        <v>9.3125</v>
      </c>
      <c r="U638" s="13">
        <v>3</v>
      </c>
      <c r="V638" s="13">
        <v>5.5</v>
      </c>
      <c r="W638" s="13">
        <v>8.8125</v>
      </c>
      <c r="X638" s="13">
        <v>29</v>
      </c>
      <c r="Y638" s="13">
        <v>9.52</v>
      </c>
      <c r="Z638" s="13">
        <v>16.670000000000002</v>
      </c>
    </row>
    <row r="639" spans="1:26" ht="12.75">
      <c r="A639" s="11">
        <v>0</v>
      </c>
      <c r="B639" s="3" t="s">
        <v>43</v>
      </c>
      <c r="C639" s="7"/>
      <c r="D639" s="7"/>
      <c r="E639" s="7"/>
      <c r="F639" s="7"/>
      <c r="G639" s="7"/>
      <c r="M639" s="21" t="s">
        <v>44</v>
      </c>
      <c r="N639">
        <v>630</v>
      </c>
      <c r="O639">
        <v>23.114999999999998</v>
      </c>
      <c r="P639">
        <v>4.8</v>
      </c>
      <c r="Q639">
        <v>15.824999999999999</v>
      </c>
      <c r="R639">
        <v>1.8160000000000001</v>
      </c>
      <c r="S639">
        <v>16.332999999999998</v>
      </c>
      <c r="T639">
        <v>9.75</v>
      </c>
      <c r="U639">
        <v>3</v>
      </c>
      <c r="V639">
        <v>5.5</v>
      </c>
      <c r="W639">
        <v>9.1875</v>
      </c>
      <c r="X639">
        <v>43</v>
      </c>
      <c r="Y639">
        <v>6.95</v>
      </c>
      <c r="Z639">
        <v>10.9</v>
      </c>
    </row>
    <row r="640" spans="1:26" ht="12.75">
      <c r="A640" s="7"/>
      <c r="B640" s="7"/>
      <c r="C640" s="7"/>
      <c r="D640" s="7"/>
      <c r="E640" s="7"/>
      <c r="F640" s="7"/>
      <c r="G640" s="7"/>
      <c r="J640">
        <f>(J632*J633/(J634+(J635*J638/2)))*(J636/J637)^2</f>
        <v>3798298.4964576019</v>
      </c>
      <c r="M640" s="21" t="s">
        <v>45</v>
      </c>
      <c r="N640">
        <v>630</v>
      </c>
      <c r="O640">
        <v>23.114999999999998</v>
      </c>
      <c r="P640">
        <v>6.59</v>
      </c>
      <c r="Q640">
        <v>20.786000000000001</v>
      </c>
      <c r="R640">
        <v>1.776</v>
      </c>
      <c r="S640">
        <v>22.422000000000001</v>
      </c>
      <c r="T640">
        <v>9.75</v>
      </c>
      <c r="U640">
        <v>3</v>
      </c>
      <c r="V640">
        <v>5.5</v>
      </c>
      <c r="W640">
        <v>9.1875</v>
      </c>
      <c r="X640">
        <v>43</v>
      </c>
      <c r="Y640">
        <v>6.95</v>
      </c>
      <c r="Z640">
        <v>10.9</v>
      </c>
    </row>
    <row r="641" spans="1:26" ht="12.75">
      <c r="A641" s="12">
        <f>(J640)</f>
        <v>3798298.4964576019</v>
      </c>
      <c r="B641" s="3" t="s">
        <v>46</v>
      </c>
      <c r="C641" s="7"/>
      <c r="D641" s="7"/>
      <c r="E641" s="7"/>
      <c r="F641" s="7"/>
      <c r="G641" s="7"/>
      <c r="M641" s="21" t="s">
        <v>47</v>
      </c>
      <c r="N641">
        <v>630</v>
      </c>
      <c r="O641">
        <v>23.114999999999998</v>
      </c>
      <c r="P641">
        <v>8.5050000000000008</v>
      </c>
      <c r="Q641">
        <v>25.532</v>
      </c>
      <c r="R641">
        <v>1.7330000000000001</v>
      </c>
      <c r="S641">
        <v>28.94</v>
      </c>
      <c r="T641">
        <v>9.75</v>
      </c>
      <c r="U641">
        <v>3</v>
      </c>
      <c r="V641">
        <v>5.5</v>
      </c>
      <c r="W641">
        <v>9.1875</v>
      </c>
      <c r="X641">
        <v>43</v>
      </c>
      <c r="Y641">
        <v>6.95</v>
      </c>
      <c r="Z641">
        <v>10.9</v>
      </c>
    </row>
    <row r="642" spans="1:26" ht="12.75">
      <c r="A642" s="12">
        <f>(J646)</f>
        <v>0</v>
      </c>
      <c r="B642" s="3" t="s">
        <v>48</v>
      </c>
      <c r="C642" s="7"/>
      <c r="D642" s="7"/>
      <c r="E642" s="7"/>
      <c r="F642" s="7"/>
      <c r="G642" s="7"/>
      <c r="J642" s="4" t="s">
        <v>49</v>
      </c>
      <c r="M642" s="22" t="s">
        <v>50</v>
      </c>
      <c r="N642" s="13">
        <v>234</v>
      </c>
      <c r="O642" s="13">
        <v>23.114999999999998</v>
      </c>
      <c r="P642" s="13">
        <v>10.148999999999999</v>
      </c>
      <c r="Q642" s="13">
        <v>29.140999999999998</v>
      </c>
      <c r="R642" s="13">
        <v>1.694</v>
      </c>
      <c r="S642" s="13">
        <v>34.436</v>
      </c>
      <c r="T642" s="13">
        <v>9.75</v>
      </c>
      <c r="U642" s="13">
        <v>3</v>
      </c>
      <c r="V642" s="13">
        <v>5.5</v>
      </c>
      <c r="W642" s="13">
        <v>9.1875</v>
      </c>
      <c r="X642" s="13">
        <v>43</v>
      </c>
      <c r="Y642" s="13">
        <v>6.95</v>
      </c>
      <c r="Z642" s="13">
        <v>10.9</v>
      </c>
    </row>
    <row r="643" spans="1:26" ht="12.75">
      <c r="A643" s="11">
        <f>'Estimating Form'!$D$18/12+P957</f>
        <v>1.7760416666666667</v>
      </c>
      <c r="B643" s="3" t="s">
        <v>957</v>
      </c>
      <c r="J643">
        <f>VLOOKUP(A634,M631:Z661,IF(A639=1,13,12)+1,FALSE)</f>
        <v>1.82</v>
      </c>
      <c r="K643" s="4" t="s">
        <v>51</v>
      </c>
      <c r="M643" s="21" t="s">
        <v>27</v>
      </c>
      <c r="N643">
        <v>630</v>
      </c>
      <c r="O643">
        <v>33.03</v>
      </c>
      <c r="P643">
        <v>5.9219999999999997</v>
      </c>
      <c r="Q643">
        <v>28.338999999999999</v>
      </c>
      <c r="R643">
        <v>2.1880000000000002</v>
      </c>
      <c r="S643">
        <v>20.149999999999999</v>
      </c>
      <c r="T643">
        <v>9.75</v>
      </c>
      <c r="U643">
        <v>3</v>
      </c>
      <c r="V643">
        <v>5.5</v>
      </c>
      <c r="W643">
        <v>9.1875</v>
      </c>
      <c r="X643">
        <v>43</v>
      </c>
      <c r="Y643">
        <v>3.41</v>
      </c>
      <c r="Z643">
        <v>5.34</v>
      </c>
    </row>
    <row r="644" spans="1:26">
      <c r="A644" s="8"/>
      <c r="B644" s="4"/>
      <c r="J644">
        <f>(A638)</f>
        <v>0</v>
      </c>
      <c r="K644" s="4" t="s">
        <v>52</v>
      </c>
      <c r="M644" s="21" t="s">
        <v>53</v>
      </c>
      <c r="N644">
        <v>630</v>
      </c>
      <c r="O644">
        <v>33.03</v>
      </c>
      <c r="P644">
        <v>9.2799999999999994</v>
      </c>
      <c r="Q644">
        <v>41.933</v>
      </c>
      <c r="R644">
        <v>2.1259999999999999</v>
      </c>
      <c r="S644">
        <v>31.579000000000001</v>
      </c>
      <c r="T644">
        <v>9.75</v>
      </c>
      <c r="U644">
        <v>3</v>
      </c>
      <c r="V644">
        <v>5.5</v>
      </c>
      <c r="W644">
        <v>9.1875</v>
      </c>
      <c r="X644">
        <v>43</v>
      </c>
      <c r="Y644">
        <v>3.41</v>
      </c>
      <c r="Z644">
        <v>5.34</v>
      </c>
    </row>
    <row r="645" spans="1:26">
      <c r="A645" s="8"/>
      <c r="B645" s="9"/>
      <c r="M645" s="21" t="s">
        <v>54</v>
      </c>
      <c r="N645">
        <v>630</v>
      </c>
      <c r="O645">
        <v>33.03</v>
      </c>
      <c r="P645">
        <v>11.898999999999999</v>
      </c>
      <c r="Q645">
        <v>51.284999999999997</v>
      </c>
      <c r="R645">
        <v>2.0760000000000001</v>
      </c>
      <c r="S645">
        <v>40.488999999999997</v>
      </c>
      <c r="T645">
        <v>9.75</v>
      </c>
      <c r="U645">
        <v>3</v>
      </c>
      <c r="V645">
        <v>5.5</v>
      </c>
      <c r="W645">
        <v>9.1875</v>
      </c>
      <c r="X645">
        <v>43</v>
      </c>
      <c r="Y645">
        <v>3.41</v>
      </c>
      <c r="Z645">
        <v>5.34</v>
      </c>
    </row>
    <row r="646" spans="1:26">
      <c r="A646" s="8"/>
      <c r="B646" s="9"/>
      <c r="J646">
        <f>(J643*(J638+4)*J644*10^-6)</f>
        <v>0</v>
      </c>
      <c r="M646" s="22" t="s">
        <v>55</v>
      </c>
      <c r="N646" s="13">
        <v>630</v>
      </c>
      <c r="O646" s="13">
        <v>33.03</v>
      </c>
      <c r="P646" s="13">
        <v>14.196</v>
      </c>
      <c r="Q646" s="13">
        <v>58.588999999999999</v>
      </c>
      <c r="R646" s="13">
        <v>2.032</v>
      </c>
      <c r="S646" s="13">
        <v>48.304000000000002</v>
      </c>
      <c r="T646" s="13">
        <v>9.75</v>
      </c>
      <c r="U646" s="13">
        <v>3</v>
      </c>
      <c r="V646" s="13">
        <v>5.5</v>
      </c>
      <c r="W646" s="13">
        <v>9.1875</v>
      </c>
      <c r="X646" s="13">
        <v>43</v>
      </c>
      <c r="Y646" s="13">
        <v>3.41</v>
      </c>
      <c r="Z646" s="13">
        <v>5.34</v>
      </c>
    </row>
    <row r="647" spans="1:26">
      <c r="A647" s="8"/>
      <c r="M647" s="21" t="s">
        <v>56</v>
      </c>
      <c r="N647">
        <v>630</v>
      </c>
      <c r="O647">
        <v>44.031999999999996</v>
      </c>
      <c r="P647">
        <v>8.109</v>
      </c>
      <c r="Q647">
        <v>51.593000000000004</v>
      </c>
      <c r="R647">
        <v>2.5219999999999998</v>
      </c>
      <c r="S647">
        <v>27.591999999999999</v>
      </c>
      <c r="T647">
        <v>10.9375</v>
      </c>
      <c r="U647">
        <v>2.5</v>
      </c>
      <c r="V647">
        <v>6</v>
      </c>
      <c r="W647">
        <v>9.9375</v>
      </c>
      <c r="X647">
        <v>61</v>
      </c>
      <c r="Y647">
        <v>3</v>
      </c>
      <c r="Z647">
        <v>4.29</v>
      </c>
    </row>
    <row r="648" spans="1:26">
      <c r="A648" s="8"/>
      <c r="B648" s="9"/>
      <c r="M648" s="21" t="s">
        <v>57</v>
      </c>
      <c r="N648">
        <v>630</v>
      </c>
      <c r="O648">
        <v>44.031999999999996</v>
      </c>
      <c r="P648">
        <v>9.4350000000000005</v>
      </c>
      <c r="Q648">
        <v>59.033999999999999</v>
      </c>
      <c r="R648">
        <v>2.5009999999999999</v>
      </c>
      <c r="S648">
        <v>32.103999999999999</v>
      </c>
      <c r="T648">
        <v>10.9375</v>
      </c>
      <c r="U648">
        <v>2.5</v>
      </c>
      <c r="V648">
        <v>6</v>
      </c>
      <c r="W648">
        <v>9.9375</v>
      </c>
      <c r="X648">
        <v>61</v>
      </c>
      <c r="Y648">
        <v>3</v>
      </c>
      <c r="Z648">
        <v>4.29</v>
      </c>
    </row>
    <row r="649" spans="1:26" ht="15.75">
      <c r="A649" s="37"/>
      <c r="B649" s="97"/>
      <c r="C649" s="515" t="s">
        <v>93</v>
      </c>
      <c r="D649" s="515"/>
      <c r="E649" s="40">
        <f>(B650-A638)/(O653)-(0.39*A635)</f>
        <v>0.11453827017568663</v>
      </c>
      <c r="M649" s="23" t="s">
        <v>59</v>
      </c>
      <c r="N649">
        <v>630</v>
      </c>
      <c r="O649">
        <v>44.031999999999996</v>
      </c>
      <c r="P649">
        <v>14.49</v>
      </c>
      <c r="Q649">
        <v>84.834000000000003</v>
      </c>
      <c r="R649">
        <v>2.42</v>
      </c>
      <c r="S649">
        <v>49.305</v>
      </c>
      <c r="T649">
        <v>10.9375</v>
      </c>
      <c r="U649">
        <v>2.5</v>
      </c>
      <c r="V649">
        <v>6</v>
      </c>
      <c r="W649">
        <v>9.9375</v>
      </c>
      <c r="X649">
        <v>61</v>
      </c>
      <c r="Y649">
        <v>3</v>
      </c>
      <c r="Z649">
        <v>4.29</v>
      </c>
    </row>
    <row r="650" spans="1:26" ht="15.75">
      <c r="A650" s="37" t="s">
        <v>98</v>
      </c>
      <c r="B650" s="41">
        <f>A637+B654</f>
        <v>35.900906249999998</v>
      </c>
      <c r="C650" s="516" t="s">
        <v>99</v>
      </c>
      <c r="D650" s="516"/>
      <c r="E650" s="42">
        <f>((B650/(O653))*1.1)</f>
        <v>0.69799209719325539</v>
      </c>
      <c r="M650" s="24" t="s">
        <v>58</v>
      </c>
      <c r="N650" s="13">
        <v>630</v>
      </c>
      <c r="O650" s="13">
        <v>44.031999999999996</v>
      </c>
      <c r="P650" s="13">
        <v>19.181000000000001</v>
      </c>
      <c r="Q650" s="13">
        <v>105.14</v>
      </c>
      <c r="R650" s="13">
        <v>2.3410000000000002</v>
      </c>
      <c r="S650" s="13">
        <v>65.268000000000001</v>
      </c>
      <c r="T650" s="13">
        <v>10.9375</v>
      </c>
      <c r="U650" s="13">
        <v>2.5</v>
      </c>
      <c r="V650" s="13">
        <v>6</v>
      </c>
      <c r="W650" s="13">
        <v>9.9375</v>
      </c>
      <c r="X650" s="13">
        <v>61</v>
      </c>
      <c r="Y650" s="13">
        <v>3</v>
      </c>
      <c r="Z650" s="13">
        <v>4.29</v>
      </c>
    </row>
    <row r="651" spans="1:26" ht="15">
      <c r="A651" s="37"/>
      <c r="B651" s="38"/>
      <c r="C651" s="517" t="s">
        <v>106</v>
      </c>
      <c r="D651" s="514" t="str">
        <f>IF(E649&gt;90,"Good!","Too Low, increase GLOPU or decrease jack diameter, if above 50 use ASK ENGINEERING")</f>
        <v>Too Low, increase GLOPU or decrease jack diameter, if above 50 use ASK ENGINEERING</v>
      </c>
      <c r="E651" s="514"/>
      <c r="F651" s="10"/>
      <c r="M651" s="21" t="s">
        <v>60</v>
      </c>
      <c r="N651">
        <v>630</v>
      </c>
      <c r="O651">
        <v>56.578000000000003</v>
      </c>
      <c r="P651">
        <v>9.2829999999999995</v>
      </c>
      <c r="Q651">
        <v>76.736999999999995</v>
      </c>
      <c r="R651">
        <v>2.875</v>
      </c>
      <c r="S651">
        <v>31.588999999999999</v>
      </c>
      <c r="T651">
        <v>10.9375</v>
      </c>
      <c r="U651">
        <v>2.5</v>
      </c>
      <c r="V651">
        <v>6</v>
      </c>
      <c r="W651">
        <v>9.9375</v>
      </c>
      <c r="X651">
        <v>61</v>
      </c>
      <c r="Y651">
        <v>1.82</v>
      </c>
      <c r="Z651">
        <v>2.6</v>
      </c>
    </row>
    <row r="652" spans="1:26" ht="15.75" thickBot="1">
      <c r="A652" s="37"/>
      <c r="B652" s="44"/>
      <c r="C652" s="518"/>
      <c r="D652" s="519"/>
      <c r="E652" s="519"/>
      <c r="M652" s="21" t="s">
        <v>61</v>
      </c>
      <c r="N652">
        <v>630</v>
      </c>
      <c r="O652">
        <v>56.578000000000003</v>
      </c>
      <c r="P652">
        <v>10.734999999999999</v>
      </c>
      <c r="Q652">
        <v>87.494</v>
      </c>
      <c r="R652">
        <v>2.855</v>
      </c>
      <c r="S652">
        <v>36.527999999999999</v>
      </c>
      <c r="T652">
        <v>10.9375</v>
      </c>
      <c r="U652">
        <v>2.5</v>
      </c>
      <c r="V652">
        <v>6</v>
      </c>
      <c r="W652">
        <v>9.9375</v>
      </c>
      <c r="X652">
        <v>61</v>
      </c>
      <c r="Y652">
        <v>1.82</v>
      </c>
      <c r="Z652">
        <v>2.6</v>
      </c>
    </row>
    <row r="653" spans="1:26" ht="15">
      <c r="A653" s="37"/>
      <c r="B653" s="39"/>
      <c r="C653" s="512" t="s">
        <v>118</v>
      </c>
      <c r="D653" s="514" t="str">
        <f>IF(E650&gt;500,"Too High, reduce GLOPU or increase plunger diameter","Good!")</f>
        <v>Good!</v>
      </c>
      <c r="E653" s="514"/>
      <c r="M653" s="24" t="s">
        <v>70</v>
      </c>
      <c r="N653" s="13">
        <v>630</v>
      </c>
      <c r="O653" s="13">
        <v>56.578000000000003</v>
      </c>
      <c r="P653" s="13">
        <v>15.885999999999999</v>
      </c>
      <c r="Q653" s="13">
        <v>122.965</v>
      </c>
      <c r="R653" s="13">
        <v>2.782</v>
      </c>
      <c r="S653" s="13">
        <v>54.055</v>
      </c>
      <c r="T653" s="13">
        <v>10.9375</v>
      </c>
      <c r="U653" s="13">
        <v>2.5</v>
      </c>
      <c r="V653" s="13">
        <v>6</v>
      </c>
      <c r="W653" s="13">
        <v>9.9375</v>
      </c>
      <c r="X653" s="13">
        <v>61</v>
      </c>
      <c r="Y653" s="13">
        <v>1.82</v>
      </c>
      <c r="Z653" s="13">
        <v>2.6</v>
      </c>
    </row>
    <row r="654" spans="1:26" ht="15">
      <c r="A654" s="46" t="s">
        <v>122</v>
      </c>
      <c r="B654" s="96">
        <f>S635*A643</f>
        <v>35.900906249999998</v>
      </c>
      <c r="C654" s="513"/>
      <c r="D654" s="514"/>
      <c r="E654" s="514"/>
      <c r="M654" s="21" t="s">
        <v>62</v>
      </c>
      <c r="N654">
        <v>537</v>
      </c>
      <c r="O654">
        <v>70.695999999999998</v>
      </c>
      <c r="P654">
        <v>12.27</v>
      </c>
      <c r="Q654">
        <v>126.072</v>
      </c>
      <c r="R654">
        <v>3.2050000000000001</v>
      </c>
      <c r="S654">
        <v>41.75</v>
      </c>
      <c r="T654">
        <v>14.375</v>
      </c>
      <c r="U654">
        <v>2.5</v>
      </c>
      <c r="V654">
        <v>6</v>
      </c>
      <c r="W654">
        <v>12.9375</v>
      </c>
      <c r="X654">
        <v>80</v>
      </c>
      <c r="Y654">
        <v>1.66</v>
      </c>
      <c r="Z654">
        <v>2.62</v>
      </c>
    </row>
    <row r="655" spans="1:26">
      <c r="E655" s="10"/>
      <c r="F655" s="10"/>
      <c r="M655" s="22" t="s">
        <v>63</v>
      </c>
      <c r="N655" s="13">
        <v>537</v>
      </c>
      <c r="O655" s="13">
        <v>70.695999999999998</v>
      </c>
      <c r="P655" s="13">
        <v>18.847000000000001</v>
      </c>
      <c r="Q655" s="13">
        <v>183.79400000000001</v>
      </c>
      <c r="R655" s="13">
        <v>3.1230000000000002</v>
      </c>
      <c r="S655" s="13">
        <v>64.132000000000005</v>
      </c>
      <c r="T655" s="13">
        <v>14.375</v>
      </c>
      <c r="U655" s="13">
        <v>2.5</v>
      </c>
      <c r="V655" s="13">
        <v>6</v>
      </c>
      <c r="W655" s="13">
        <v>12.9375</v>
      </c>
      <c r="X655" s="13">
        <v>80</v>
      </c>
      <c r="Y655" s="13">
        <v>1.66</v>
      </c>
      <c r="Z655" s="13">
        <v>2.62</v>
      </c>
    </row>
    <row r="656" spans="1:26">
      <c r="A656" s="8"/>
      <c r="B656" s="9"/>
      <c r="M656" s="21" t="s">
        <v>64</v>
      </c>
      <c r="N656">
        <v>537</v>
      </c>
      <c r="O656">
        <v>88.456000000000003</v>
      </c>
      <c r="P656">
        <v>13.656000000000001</v>
      </c>
      <c r="Q656">
        <v>177.40799999999999</v>
      </c>
      <c r="R656">
        <v>3.6040000000000001</v>
      </c>
      <c r="S656">
        <v>46.466999999999999</v>
      </c>
      <c r="T656">
        <v>14.375</v>
      </c>
      <c r="U656">
        <v>2.5</v>
      </c>
      <c r="V656">
        <v>6</v>
      </c>
      <c r="W656">
        <v>13.3125</v>
      </c>
      <c r="X656">
        <v>80</v>
      </c>
      <c r="Y656">
        <v>1.06</v>
      </c>
      <c r="Z656">
        <v>1.67</v>
      </c>
    </row>
    <row r="657" spans="1:26">
      <c r="B657" s="9"/>
      <c r="M657" s="21" t="s">
        <v>65</v>
      </c>
      <c r="N657">
        <v>537</v>
      </c>
      <c r="O657">
        <v>88.456000000000003</v>
      </c>
      <c r="P657">
        <v>16.48</v>
      </c>
      <c r="Q657">
        <v>210.39400000000001</v>
      </c>
      <c r="R657">
        <v>3.573</v>
      </c>
      <c r="S657">
        <v>56.076999999999998</v>
      </c>
      <c r="T657">
        <v>14.375</v>
      </c>
      <c r="U657">
        <v>2.5</v>
      </c>
      <c r="V657">
        <v>6</v>
      </c>
      <c r="W657">
        <v>13.3125</v>
      </c>
      <c r="X657">
        <v>80</v>
      </c>
      <c r="Y657">
        <v>1.06</v>
      </c>
      <c r="Z657">
        <v>1.67</v>
      </c>
    </row>
    <row r="658" spans="1:26">
      <c r="B658" s="9"/>
      <c r="M658" s="22" t="s">
        <v>66</v>
      </c>
      <c r="N658" s="13">
        <v>537</v>
      </c>
      <c r="O658" s="13">
        <v>88.456000000000003</v>
      </c>
      <c r="P658" s="13">
        <v>20.350999999999999</v>
      </c>
      <c r="Q658" s="13">
        <v>253.547</v>
      </c>
      <c r="R658" s="13">
        <v>3.53</v>
      </c>
      <c r="S658" s="13">
        <v>69.248999999999995</v>
      </c>
      <c r="T658" s="13">
        <v>14.375</v>
      </c>
      <c r="U658" s="13">
        <v>2.5</v>
      </c>
      <c r="V658" s="13">
        <v>6</v>
      </c>
      <c r="W658" s="13">
        <v>13.3125</v>
      </c>
      <c r="X658" s="13">
        <v>80</v>
      </c>
      <c r="Y658" s="13">
        <v>1.06</v>
      </c>
      <c r="Z658" s="13">
        <v>1.67</v>
      </c>
    </row>
    <row r="659" spans="1:26">
      <c r="M659" s="21" t="s">
        <v>67</v>
      </c>
      <c r="N659">
        <v>449</v>
      </c>
      <c r="O659">
        <v>124.937</v>
      </c>
      <c r="P659">
        <v>16.503</v>
      </c>
      <c r="Q659">
        <v>306.48500000000001</v>
      </c>
      <c r="R659">
        <v>4.3090000000000002</v>
      </c>
      <c r="S659">
        <v>56.155999999999999</v>
      </c>
      <c r="T659">
        <v>0</v>
      </c>
      <c r="U659">
        <v>2.5</v>
      </c>
      <c r="V659">
        <v>6</v>
      </c>
      <c r="W659">
        <v>15.3125</v>
      </c>
      <c r="X659">
        <v>125</v>
      </c>
      <c r="Y659">
        <v>0.83899999999999997</v>
      </c>
      <c r="Z659">
        <v>0</v>
      </c>
    </row>
    <row r="660" spans="1:26">
      <c r="M660" s="22" t="s">
        <v>68</v>
      </c>
      <c r="N660" s="13">
        <v>449</v>
      </c>
      <c r="O660" s="13">
        <v>124.937</v>
      </c>
      <c r="P660" s="13">
        <v>18.78</v>
      </c>
      <c r="Q660" s="13">
        <v>345.36099999999999</v>
      </c>
      <c r="R660" s="13">
        <v>4.2880000000000003</v>
      </c>
      <c r="S660" s="13">
        <v>63.902999999999999</v>
      </c>
      <c r="T660" s="13">
        <v>0</v>
      </c>
      <c r="U660" s="13">
        <v>2.5</v>
      </c>
      <c r="V660" s="13">
        <v>6</v>
      </c>
      <c r="W660" s="13">
        <v>15.3125</v>
      </c>
      <c r="X660" s="13">
        <v>125</v>
      </c>
      <c r="Y660" s="13">
        <v>0.83899999999999997</v>
      </c>
      <c r="Z660" s="13">
        <v>0</v>
      </c>
    </row>
    <row r="661" spans="1:26">
      <c r="M661" s="22" t="s">
        <v>69</v>
      </c>
      <c r="N661" s="14">
        <v>449</v>
      </c>
      <c r="O661" s="14">
        <v>194.51900000000001</v>
      </c>
      <c r="P661" s="14">
        <v>25.079000000000001</v>
      </c>
      <c r="Q661" s="14">
        <v>726.36</v>
      </c>
      <c r="R661" s="14">
        <v>5.3819999999999997</v>
      </c>
      <c r="S661" s="14">
        <v>85.337000000000003</v>
      </c>
      <c r="T661" s="14">
        <v>0</v>
      </c>
      <c r="U661" s="14">
        <v>6</v>
      </c>
      <c r="V661" s="14">
        <v>6</v>
      </c>
      <c r="W661" s="14">
        <v>15.375</v>
      </c>
      <c r="X661" s="14">
        <v>192</v>
      </c>
      <c r="Y661" s="14">
        <v>0.54300000000000004</v>
      </c>
      <c r="Z661" s="14">
        <v>0</v>
      </c>
    </row>
    <row r="664" spans="1:26" ht="12.75">
      <c r="A664" s="3"/>
      <c r="B664" s="15"/>
      <c r="C664" s="16"/>
      <c r="D664" s="16"/>
      <c r="E664" s="16"/>
      <c r="F664" s="16"/>
      <c r="G664" s="20"/>
      <c r="H664" s="4" t="s">
        <v>1</v>
      </c>
      <c r="J664" s="4" t="s">
        <v>2</v>
      </c>
      <c r="M664" s="4" t="s">
        <v>3</v>
      </c>
    </row>
    <row r="665" spans="1:26" ht="12.75">
      <c r="A665" s="1"/>
      <c r="B665" s="1"/>
      <c r="C665" s="1"/>
      <c r="D665" s="1"/>
      <c r="E665" s="1"/>
      <c r="F665" s="1"/>
      <c r="G665" s="1"/>
      <c r="J665" s="5">
        <f>2.85*10^8</f>
        <v>285000000</v>
      </c>
      <c r="K665" s="4" t="s">
        <v>4</v>
      </c>
      <c r="N665" s="4" t="s">
        <v>5</v>
      </c>
      <c r="O665" s="6" t="s">
        <v>6</v>
      </c>
      <c r="P665" s="6" t="s">
        <v>7</v>
      </c>
      <c r="Q665" s="6" t="s">
        <v>8</v>
      </c>
      <c r="R665" s="6" t="s">
        <v>9</v>
      </c>
      <c r="S665" s="6" t="s">
        <v>10</v>
      </c>
      <c r="T665" s="6" t="s">
        <v>11</v>
      </c>
      <c r="U665" s="6" t="s">
        <v>11</v>
      </c>
      <c r="V665" s="6" t="s">
        <v>11</v>
      </c>
      <c r="W665" s="6" t="s">
        <v>11</v>
      </c>
      <c r="X665" s="6" t="s">
        <v>12</v>
      </c>
      <c r="Y665" s="520" t="s">
        <v>13</v>
      </c>
      <c r="Z665" s="520"/>
    </row>
    <row r="666" spans="1:26" ht="12.75">
      <c r="A666" s="1"/>
      <c r="B666" s="1"/>
      <c r="C666" s="1"/>
      <c r="D666" s="1"/>
      <c r="E666" s="1"/>
      <c r="F666" s="1"/>
      <c r="G666" s="1"/>
      <c r="J666">
        <f>VLOOKUP(A667,M664:Z694,4,FALSE)</f>
        <v>12.27</v>
      </c>
      <c r="K666" s="4" t="s">
        <v>14</v>
      </c>
      <c r="M666" s="4" t="s">
        <v>15</v>
      </c>
      <c r="N666" s="4" t="s">
        <v>16</v>
      </c>
      <c r="O666" s="6" t="s">
        <v>17</v>
      </c>
      <c r="P666" s="6" t="s">
        <v>17</v>
      </c>
      <c r="Q666" s="6" t="s">
        <v>18</v>
      </c>
      <c r="R666" s="6" t="s">
        <v>19</v>
      </c>
      <c r="S666" s="6" t="s">
        <v>20</v>
      </c>
      <c r="T666" s="6" t="s">
        <v>21</v>
      </c>
      <c r="U666" s="6" t="s">
        <v>22</v>
      </c>
      <c r="V666" s="6" t="s">
        <v>23</v>
      </c>
      <c r="W666" s="6" t="s">
        <v>24</v>
      </c>
      <c r="Y666" s="6" t="s">
        <v>25</v>
      </c>
      <c r="Z666" s="4" t="s">
        <v>26</v>
      </c>
    </row>
    <row r="667" spans="1:26" ht="12.75">
      <c r="A667" s="11" t="s">
        <v>62</v>
      </c>
      <c r="B667" s="3" t="s">
        <v>28</v>
      </c>
      <c r="C667" s="7"/>
      <c r="D667" s="7"/>
      <c r="E667" s="7"/>
      <c r="F667" s="7"/>
      <c r="G667" s="3" t="s">
        <v>1</v>
      </c>
      <c r="J667">
        <f>(A670)</f>
        <v>0</v>
      </c>
      <c r="K667" s="4" t="s">
        <v>29</v>
      </c>
      <c r="M667" s="21" t="s">
        <v>30</v>
      </c>
      <c r="N667">
        <v>492</v>
      </c>
      <c r="O667">
        <v>11.781000000000001</v>
      </c>
      <c r="P667">
        <v>2.8980000000000001</v>
      </c>
      <c r="Q667">
        <v>4.766</v>
      </c>
      <c r="R667">
        <v>1.282</v>
      </c>
      <c r="S667">
        <v>9.8620000000000001</v>
      </c>
      <c r="T667">
        <v>0</v>
      </c>
      <c r="U667">
        <v>3</v>
      </c>
      <c r="V667">
        <v>6.75</v>
      </c>
      <c r="W667">
        <v>9.375</v>
      </c>
      <c r="X667">
        <v>22</v>
      </c>
      <c r="Y667">
        <v>10.47</v>
      </c>
      <c r="Z667">
        <v>0</v>
      </c>
    </row>
    <row r="668" spans="1:26" ht="12.75">
      <c r="A668" s="319">
        <f>'Estimating Form'!$D$18/12+Q956</f>
        <v>1.3333333333333333</v>
      </c>
      <c r="B668" s="3" t="s">
        <v>31</v>
      </c>
      <c r="C668" s="7"/>
      <c r="D668" s="7"/>
      <c r="E668" s="7"/>
      <c r="F668" s="7"/>
      <c r="G668" s="7"/>
      <c r="J668">
        <f>VLOOKUP(A667,M664:Z695,7,FALSE)</f>
        <v>41.75</v>
      </c>
      <c r="K668" s="4" t="s">
        <v>32</v>
      </c>
      <c r="M668" s="22" t="s">
        <v>33</v>
      </c>
      <c r="N668" s="13">
        <v>492</v>
      </c>
      <c r="O668" s="13">
        <v>11.781000000000001</v>
      </c>
      <c r="P668" s="13">
        <v>5.94</v>
      </c>
      <c r="Q668" s="13">
        <v>8.33</v>
      </c>
      <c r="R668" s="13">
        <v>1.1839999999999999</v>
      </c>
      <c r="S668" s="13">
        <v>20.213999999999999</v>
      </c>
      <c r="T668" s="13">
        <v>0</v>
      </c>
      <c r="U668" s="13">
        <v>3</v>
      </c>
      <c r="V668" s="13">
        <v>6.75</v>
      </c>
      <c r="W668" s="13">
        <v>9.375</v>
      </c>
      <c r="X668" s="13">
        <v>22</v>
      </c>
      <c r="Y668" s="13">
        <v>10.47</v>
      </c>
      <c r="Z668" s="13">
        <v>0</v>
      </c>
    </row>
    <row r="669" spans="1:26" ht="12.75">
      <c r="A669" s="11">
        <v>0</v>
      </c>
      <c r="B669" s="3" t="s">
        <v>34</v>
      </c>
      <c r="C669" s="7"/>
      <c r="D669" s="7"/>
      <c r="E669" s="7"/>
      <c r="F669" s="7"/>
      <c r="G669" s="7"/>
      <c r="J669">
        <f>VLOOKUP(A667,M664:Z694,6,FALSE)</f>
        <v>3.2050000000000001</v>
      </c>
      <c r="K669" s="4" t="s">
        <v>35</v>
      </c>
      <c r="M669" s="21" t="s">
        <v>36</v>
      </c>
      <c r="N669">
        <v>594</v>
      </c>
      <c r="O669">
        <v>14.93</v>
      </c>
      <c r="P669">
        <v>3.3490000000000002</v>
      </c>
      <c r="Q669">
        <v>7.0650000000000004</v>
      </c>
      <c r="R669">
        <v>1.452</v>
      </c>
      <c r="S669">
        <v>11.396000000000001</v>
      </c>
      <c r="T669">
        <v>9.3125</v>
      </c>
      <c r="U669">
        <v>3</v>
      </c>
      <c r="V669">
        <v>5.5</v>
      </c>
      <c r="W669">
        <v>8.8125</v>
      </c>
      <c r="X669">
        <v>29</v>
      </c>
      <c r="Y669">
        <v>9.52</v>
      </c>
      <c r="Z669">
        <v>16.670000000000002</v>
      </c>
    </row>
    <row r="670" spans="1:26" ht="12.75">
      <c r="A670" s="11">
        <f>'Estimating Form'!$G$22</f>
        <v>0</v>
      </c>
      <c r="B670" s="3" t="s">
        <v>37</v>
      </c>
      <c r="C670" s="7"/>
      <c r="D670" s="7"/>
      <c r="E670" s="7"/>
      <c r="F670" s="7"/>
      <c r="G670" s="7"/>
      <c r="J670">
        <f>(A668*12+A669)</f>
        <v>16</v>
      </c>
      <c r="K670" s="4" t="s">
        <v>38</v>
      </c>
      <c r="M670" s="21" t="s">
        <v>39</v>
      </c>
      <c r="N670">
        <v>594</v>
      </c>
      <c r="O670">
        <v>14.93</v>
      </c>
      <c r="P670">
        <v>5.5170000000000003</v>
      </c>
      <c r="Q670">
        <v>10.686999999999999</v>
      </c>
      <c r="R670">
        <v>1.3919999999999999</v>
      </c>
      <c r="S670">
        <v>18.771999999999998</v>
      </c>
      <c r="T670">
        <v>9.3125</v>
      </c>
      <c r="U670">
        <v>3</v>
      </c>
      <c r="V670">
        <v>5.5</v>
      </c>
      <c r="W670">
        <v>8.8125</v>
      </c>
      <c r="X670">
        <v>29</v>
      </c>
      <c r="Y670">
        <v>9.52</v>
      </c>
      <c r="Z670">
        <v>16.670000000000002</v>
      </c>
    </row>
    <row r="671" spans="1:26" ht="12.75">
      <c r="A671" s="11">
        <f>'Estimating Form'!$D$20</f>
        <v>0</v>
      </c>
      <c r="B671" s="3" t="s">
        <v>40</v>
      </c>
      <c r="C671" s="7"/>
      <c r="D671" s="7"/>
      <c r="E671" s="7"/>
      <c r="F671" s="7"/>
      <c r="G671" s="7"/>
      <c r="J671">
        <f>(A668+A669/12)</f>
        <v>1.3333333333333333</v>
      </c>
      <c r="K671" s="4" t="s">
        <v>41</v>
      </c>
      <c r="M671" s="22" t="s">
        <v>42</v>
      </c>
      <c r="N671" s="13">
        <v>594</v>
      </c>
      <c r="O671" s="13">
        <v>14.93</v>
      </c>
      <c r="P671" s="13">
        <v>7.1269999999999998</v>
      </c>
      <c r="Q671" s="13">
        <v>12.893000000000001</v>
      </c>
      <c r="R671" s="13">
        <v>1.345</v>
      </c>
      <c r="S671" s="13">
        <v>24.251999999999999</v>
      </c>
      <c r="T671" s="13">
        <v>9.3125</v>
      </c>
      <c r="U671" s="13">
        <v>3</v>
      </c>
      <c r="V671" s="13">
        <v>5.5</v>
      </c>
      <c r="W671" s="13">
        <v>8.8125</v>
      </c>
      <c r="X671" s="13">
        <v>29</v>
      </c>
      <c r="Y671" s="13">
        <v>9.52</v>
      </c>
      <c r="Z671" s="13">
        <v>16.670000000000002</v>
      </c>
    </row>
    <row r="672" spans="1:26" ht="12.75">
      <c r="A672" s="11">
        <v>0</v>
      </c>
      <c r="B672" s="3" t="s">
        <v>43</v>
      </c>
      <c r="C672" s="7"/>
      <c r="D672" s="7"/>
      <c r="E672" s="7"/>
      <c r="F672" s="7"/>
      <c r="G672" s="7"/>
      <c r="M672" s="21" t="s">
        <v>44</v>
      </c>
      <c r="N672">
        <v>630</v>
      </c>
      <c r="O672">
        <v>23.114999999999998</v>
      </c>
      <c r="P672">
        <v>4.8</v>
      </c>
      <c r="Q672">
        <v>15.824999999999999</v>
      </c>
      <c r="R672">
        <v>1.8160000000000001</v>
      </c>
      <c r="S672">
        <v>16.332999999999998</v>
      </c>
      <c r="T672">
        <v>9.75</v>
      </c>
      <c r="U672">
        <v>3</v>
      </c>
      <c r="V672">
        <v>5.5</v>
      </c>
      <c r="W672">
        <v>9.1875</v>
      </c>
      <c r="X672">
        <v>43</v>
      </c>
      <c r="Y672">
        <v>6.95</v>
      </c>
      <c r="Z672">
        <v>10.9</v>
      </c>
    </row>
    <row r="673" spans="1:26" ht="12.75">
      <c r="A673" s="7"/>
      <c r="B673" s="7"/>
      <c r="C673" s="7"/>
      <c r="D673" s="7"/>
      <c r="E673" s="7"/>
      <c r="F673" s="7"/>
      <c r="G673" s="7"/>
      <c r="J673">
        <f>(J665*J666/(J667+(J668*J671/2)))*(J669/J670)^2</f>
        <v>5041274.0209229989</v>
      </c>
      <c r="M673" s="21" t="s">
        <v>45</v>
      </c>
      <c r="N673">
        <v>630</v>
      </c>
      <c r="O673">
        <v>23.114999999999998</v>
      </c>
      <c r="P673">
        <v>6.59</v>
      </c>
      <c r="Q673">
        <v>20.786000000000001</v>
      </c>
      <c r="R673">
        <v>1.776</v>
      </c>
      <c r="S673">
        <v>22.422000000000001</v>
      </c>
      <c r="T673">
        <v>9.75</v>
      </c>
      <c r="U673">
        <v>3</v>
      </c>
      <c r="V673">
        <v>5.5</v>
      </c>
      <c r="W673">
        <v>9.1875</v>
      </c>
      <c r="X673">
        <v>43</v>
      </c>
      <c r="Y673">
        <v>6.95</v>
      </c>
      <c r="Z673">
        <v>10.9</v>
      </c>
    </row>
    <row r="674" spans="1:26" ht="12.75">
      <c r="A674" s="12">
        <f>(J673)</f>
        <v>5041274.0209229989</v>
      </c>
      <c r="B674" s="3" t="s">
        <v>46</v>
      </c>
      <c r="C674" s="7"/>
      <c r="D674" s="7"/>
      <c r="E674" s="7"/>
      <c r="F674" s="7"/>
      <c r="G674" s="7"/>
      <c r="M674" s="21" t="s">
        <v>47</v>
      </c>
      <c r="N674">
        <v>630</v>
      </c>
      <c r="O674">
        <v>23.114999999999998</v>
      </c>
      <c r="P674">
        <v>8.5050000000000008</v>
      </c>
      <c r="Q674">
        <v>25.532</v>
      </c>
      <c r="R674">
        <v>1.7330000000000001</v>
      </c>
      <c r="S674">
        <v>28.94</v>
      </c>
      <c r="T674">
        <v>9.75</v>
      </c>
      <c r="U674">
        <v>3</v>
      </c>
      <c r="V674">
        <v>5.5</v>
      </c>
      <c r="W674">
        <v>9.1875</v>
      </c>
      <c r="X674">
        <v>43</v>
      </c>
      <c r="Y674">
        <v>6.95</v>
      </c>
      <c r="Z674">
        <v>10.9</v>
      </c>
    </row>
    <row r="675" spans="1:26" ht="12.75">
      <c r="A675" s="12">
        <f>(J679)</f>
        <v>0</v>
      </c>
      <c r="B675" s="3" t="s">
        <v>48</v>
      </c>
      <c r="C675" s="7"/>
      <c r="D675" s="7"/>
      <c r="E675" s="7"/>
      <c r="F675" s="7"/>
      <c r="G675" s="7"/>
      <c r="J675" s="4" t="s">
        <v>49</v>
      </c>
      <c r="M675" s="22" t="s">
        <v>50</v>
      </c>
      <c r="N675" s="13">
        <v>234</v>
      </c>
      <c r="O675" s="13">
        <v>23.114999999999998</v>
      </c>
      <c r="P675" s="13">
        <v>10.148999999999999</v>
      </c>
      <c r="Q675" s="13">
        <v>29.140999999999998</v>
      </c>
      <c r="R675" s="13">
        <v>1.694</v>
      </c>
      <c r="S675" s="13">
        <v>34.436</v>
      </c>
      <c r="T675" s="13">
        <v>9.75</v>
      </c>
      <c r="U675" s="13">
        <v>3</v>
      </c>
      <c r="V675" s="13">
        <v>5.5</v>
      </c>
      <c r="W675" s="13">
        <v>9.1875</v>
      </c>
      <c r="X675" s="13">
        <v>43</v>
      </c>
      <c r="Y675" s="13">
        <v>6.95</v>
      </c>
      <c r="Z675" s="13">
        <v>10.9</v>
      </c>
    </row>
    <row r="676" spans="1:26" ht="12.75">
      <c r="A676" s="11">
        <f>'Estimating Form'!$D$18/12+Q957</f>
        <v>1.90625</v>
      </c>
      <c r="B676" s="3" t="s">
        <v>957</v>
      </c>
      <c r="J676">
        <f>VLOOKUP(A667,M664:Z694,IF(A672=1,13,12)+1,FALSE)</f>
        <v>1.66</v>
      </c>
      <c r="K676" s="4" t="s">
        <v>51</v>
      </c>
      <c r="M676" s="21" t="s">
        <v>27</v>
      </c>
      <c r="N676">
        <v>630</v>
      </c>
      <c r="O676">
        <v>33.03</v>
      </c>
      <c r="P676">
        <v>5.9219999999999997</v>
      </c>
      <c r="Q676">
        <v>28.338999999999999</v>
      </c>
      <c r="R676">
        <v>2.1880000000000002</v>
      </c>
      <c r="S676">
        <v>20.149999999999999</v>
      </c>
      <c r="T676">
        <v>9.75</v>
      </c>
      <c r="U676">
        <v>3</v>
      </c>
      <c r="V676">
        <v>5.5</v>
      </c>
      <c r="W676">
        <v>9.1875</v>
      </c>
      <c r="X676">
        <v>43</v>
      </c>
      <c r="Y676">
        <v>3.41</v>
      </c>
      <c r="Z676">
        <v>5.34</v>
      </c>
    </row>
    <row r="677" spans="1:26">
      <c r="A677" s="8"/>
      <c r="B677" s="4"/>
      <c r="J677">
        <f>(A671)</f>
        <v>0</v>
      </c>
      <c r="K677" s="4" t="s">
        <v>52</v>
      </c>
      <c r="M677" s="21" t="s">
        <v>53</v>
      </c>
      <c r="N677">
        <v>630</v>
      </c>
      <c r="O677">
        <v>33.03</v>
      </c>
      <c r="P677">
        <v>9.2799999999999994</v>
      </c>
      <c r="Q677">
        <v>41.933</v>
      </c>
      <c r="R677">
        <v>2.1259999999999999</v>
      </c>
      <c r="S677">
        <v>31.579000000000001</v>
      </c>
      <c r="T677">
        <v>9.75</v>
      </c>
      <c r="U677">
        <v>3</v>
      </c>
      <c r="V677">
        <v>5.5</v>
      </c>
      <c r="W677">
        <v>9.1875</v>
      </c>
      <c r="X677">
        <v>43</v>
      </c>
      <c r="Y677">
        <v>3.41</v>
      </c>
      <c r="Z677">
        <v>5.34</v>
      </c>
    </row>
    <row r="678" spans="1:26">
      <c r="A678" s="8"/>
      <c r="B678" s="9"/>
      <c r="M678" s="21" t="s">
        <v>54</v>
      </c>
      <c r="N678">
        <v>630</v>
      </c>
      <c r="O678">
        <v>33.03</v>
      </c>
      <c r="P678">
        <v>11.898999999999999</v>
      </c>
      <c r="Q678">
        <v>51.284999999999997</v>
      </c>
      <c r="R678">
        <v>2.0760000000000001</v>
      </c>
      <c r="S678">
        <v>40.488999999999997</v>
      </c>
      <c r="T678">
        <v>9.75</v>
      </c>
      <c r="U678">
        <v>3</v>
      </c>
      <c r="V678">
        <v>5.5</v>
      </c>
      <c r="W678">
        <v>9.1875</v>
      </c>
      <c r="X678">
        <v>43</v>
      </c>
      <c r="Y678">
        <v>3.41</v>
      </c>
      <c r="Z678">
        <v>5.34</v>
      </c>
    </row>
    <row r="679" spans="1:26">
      <c r="A679" s="8"/>
      <c r="B679" s="9"/>
      <c r="J679">
        <f>(J676*(J671+4)*J677*10^-6)</f>
        <v>0</v>
      </c>
      <c r="M679" s="22" t="s">
        <v>55</v>
      </c>
      <c r="N679" s="13">
        <v>630</v>
      </c>
      <c r="O679" s="13">
        <v>33.03</v>
      </c>
      <c r="P679" s="13">
        <v>14.196</v>
      </c>
      <c r="Q679" s="13">
        <v>58.588999999999999</v>
      </c>
      <c r="R679" s="13">
        <v>2.032</v>
      </c>
      <c r="S679" s="13">
        <v>48.304000000000002</v>
      </c>
      <c r="T679" s="13">
        <v>9.75</v>
      </c>
      <c r="U679" s="13">
        <v>3</v>
      </c>
      <c r="V679" s="13">
        <v>5.5</v>
      </c>
      <c r="W679" s="13">
        <v>9.1875</v>
      </c>
      <c r="X679" s="13">
        <v>43</v>
      </c>
      <c r="Y679" s="13">
        <v>3.41</v>
      </c>
      <c r="Z679" s="13">
        <v>5.34</v>
      </c>
    </row>
    <row r="680" spans="1:26">
      <c r="A680" s="8"/>
      <c r="M680" s="21" t="s">
        <v>56</v>
      </c>
      <c r="N680">
        <v>630</v>
      </c>
      <c r="O680">
        <v>44.031999999999996</v>
      </c>
      <c r="P680">
        <v>8.109</v>
      </c>
      <c r="Q680">
        <v>51.593000000000004</v>
      </c>
      <c r="R680">
        <v>2.5219999999999998</v>
      </c>
      <c r="S680">
        <v>27.591999999999999</v>
      </c>
      <c r="T680">
        <v>10.9375</v>
      </c>
      <c r="U680">
        <v>2.5</v>
      </c>
      <c r="V680">
        <v>6</v>
      </c>
      <c r="W680">
        <v>9.9375</v>
      </c>
      <c r="X680">
        <v>61</v>
      </c>
      <c r="Y680">
        <v>3</v>
      </c>
      <c r="Z680">
        <v>4.29</v>
      </c>
    </row>
    <row r="681" spans="1:26">
      <c r="A681" s="8"/>
      <c r="B681" s="9"/>
      <c r="M681" s="21" t="s">
        <v>57</v>
      </c>
      <c r="N681">
        <v>630</v>
      </c>
      <c r="O681">
        <v>44.031999999999996</v>
      </c>
      <c r="P681">
        <v>9.4350000000000005</v>
      </c>
      <c r="Q681">
        <v>59.033999999999999</v>
      </c>
      <c r="R681">
        <v>2.5009999999999999</v>
      </c>
      <c r="S681">
        <v>32.103999999999999</v>
      </c>
      <c r="T681">
        <v>10.9375</v>
      </c>
      <c r="U681">
        <v>2.5</v>
      </c>
      <c r="V681">
        <v>6</v>
      </c>
      <c r="W681">
        <v>9.9375</v>
      </c>
      <c r="X681">
        <v>61</v>
      </c>
      <c r="Y681">
        <v>3</v>
      </c>
      <c r="Z681">
        <v>4.29</v>
      </c>
    </row>
    <row r="682" spans="1:26" ht="15.75">
      <c r="A682" s="37"/>
      <c r="B682" s="97"/>
      <c r="C682" s="515" t="s">
        <v>93</v>
      </c>
      <c r="D682" s="515"/>
      <c r="E682" s="40">
        <f>(B683-A671)/(O687)-(0.39*A668)</f>
        <v>2.5051169797442485E-2</v>
      </c>
      <c r="M682" s="23" t="s">
        <v>59</v>
      </c>
      <c r="N682">
        <v>630</v>
      </c>
      <c r="O682">
        <v>44.031999999999996</v>
      </c>
      <c r="P682">
        <v>14.49</v>
      </c>
      <c r="Q682">
        <v>84.834000000000003</v>
      </c>
      <c r="R682">
        <v>2.42</v>
      </c>
      <c r="S682">
        <v>49.305</v>
      </c>
      <c r="T682">
        <v>10.9375</v>
      </c>
      <c r="U682">
        <v>2.5</v>
      </c>
      <c r="V682">
        <v>6</v>
      </c>
      <c r="W682">
        <v>9.9375</v>
      </c>
      <c r="X682">
        <v>61</v>
      </c>
      <c r="Y682">
        <v>3</v>
      </c>
      <c r="Z682">
        <v>4.29</v>
      </c>
    </row>
    <row r="683" spans="1:26" ht="15.75">
      <c r="A683" s="37" t="s">
        <v>98</v>
      </c>
      <c r="B683" s="41">
        <f>A670+B687</f>
        <v>38.532937499999996</v>
      </c>
      <c r="C683" s="516" t="s">
        <v>99</v>
      </c>
      <c r="D683" s="516"/>
      <c r="E683" s="42">
        <f>((B683/(O687))*1.1)</f>
        <v>0.59955628677718675</v>
      </c>
      <c r="M683" s="24" t="s">
        <v>58</v>
      </c>
      <c r="N683" s="13">
        <v>630</v>
      </c>
      <c r="O683" s="13">
        <v>44.031999999999996</v>
      </c>
      <c r="P683" s="13">
        <v>19.181000000000001</v>
      </c>
      <c r="Q683" s="13">
        <v>105.14</v>
      </c>
      <c r="R683" s="13">
        <v>2.3410000000000002</v>
      </c>
      <c r="S683" s="13">
        <v>65.268000000000001</v>
      </c>
      <c r="T683" s="13">
        <v>10.9375</v>
      </c>
      <c r="U683" s="13">
        <v>2.5</v>
      </c>
      <c r="V683" s="13">
        <v>6</v>
      </c>
      <c r="W683" s="13">
        <v>9.9375</v>
      </c>
      <c r="X683" s="13">
        <v>61</v>
      </c>
      <c r="Y683" s="13">
        <v>3</v>
      </c>
      <c r="Z683" s="13">
        <v>4.29</v>
      </c>
    </row>
    <row r="684" spans="1:26" ht="15">
      <c r="A684" s="37"/>
      <c r="B684" s="38"/>
      <c r="C684" s="517" t="s">
        <v>106</v>
      </c>
      <c r="D684" s="514" t="str">
        <f>IF(E682&gt;90,"Good!","Too Low, increase GLOPU or decrease jack diameter, if above 50 use ASK ENGINEERING")</f>
        <v>Too Low, increase GLOPU or decrease jack diameter, if above 50 use ASK ENGINEERING</v>
      </c>
      <c r="E684" s="514"/>
      <c r="F684" s="10"/>
      <c r="M684" s="21" t="s">
        <v>60</v>
      </c>
      <c r="N684">
        <v>630</v>
      </c>
      <c r="O684">
        <v>56.578000000000003</v>
      </c>
      <c r="P684">
        <v>9.2829999999999995</v>
      </c>
      <c r="Q684">
        <v>76.736999999999995</v>
      </c>
      <c r="R684">
        <v>2.875</v>
      </c>
      <c r="S684">
        <v>31.588999999999999</v>
      </c>
      <c r="T684">
        <v>10.9375</v>
      </c>
      <c r="U684">
        <v>2.5</v>
      </c>
      <c r="V684">
        <v>6</v>
      </c>
      <c r="W684">
        <v>9.9375</v>
      </c>
      <c r="X684">
        <v>61</v>
      </c>
      <c r="Y684">
        <v>1.82</v>
      </c>
      <c r="Z684">
        <v>2.6</v>
      </c>
    </row>
    <row r="685" spans="1:26" ht="15.75" thickBot="1">
      <c r="A685" s="37"/>
      <c r="B685" s="44"/>
      <c r="C685" s="518"/>
      <c r="D685" s="519"/>
      <c r="E685" s="519"/>
      <c r="M685" s="21" t="s">
        <v>61</v>
      </c>
      <c r="N685">
        <v>630</v>
      </c>
      <c r="O685">
        <v>56.578000000000003</v>
      </c>
      <c r="P685">
        <v>10.734999999999999</v>
      </c>
      <c r="Q685">
        <v>87.494</v>
      </c>
      <c r="R685">
        <v>2.855</v>
      </c>
      <c r="S685">
        <v>36.527999999999999</v>
      </c>
      <c r="T685">
        <v>10.9375</v>
      </c>
      <c r="U685">
        <v>2.5</v>
      </c>
      <c r="V685">
        <v>6</v>
      </c>
      <c r="W685">
        <v>9.9375</v>
      </c>
      <c r="X685">
        <v>61</v>
      </c>
      <c r="Y685">
        <v>1.82</v>
      </c>
      <c r="Z685">
        <v>2.6</v>
      </c>
    </row>
    <row r="686" spans="1:26" ht="15">
      <c r="A686" s="37"/>
      <c r="B686" s="39"/>
      <c r="C686" s="512" t="s">
        <v>118</v>
      </c>
      <c r="D686" s="514" t="str">
        <f>IF(AND(OR('Estimating Form'!$G$46="Yes",'Estimating Form'!$G$46="Required")*E683&gt;400),"Too High, reduce GLOPU or increase plunger diameter",IF(E683&gt;490,"Too High, reduce GLOPU or increase plunger diameter","Good!"))</f>
        <v>Good!</v>
      </c>
      <c r="E686" s="514"/>
      <c r="M686" s="24" t="s">
        <v>70</v>
      </c>
      <c r="N686" s="13">
        <v>630</v>
      </c>
      <c r="O686" s="13">
        <v>56.578000000000003</v>
      </c>
      <c r="P686" s="13">
        <v>15.885999999999999</v>
      </c>
      <c r="Q686" s="13">
        <v>122.965</v>
      </c>
      <c r="R686" s="13">
        <v>2.782</v>
      </c>
      <c r="S686" s="13">
        <v>54.055</v>
      </c>
      <c r="T686" s="13">
        <v>10.9375</v>
      </c>
      <c r="U686" s="13">
        <v>2.5</v>
      </c>
      <c r="V686" s="13">
        <v>6</v>
      </c>
      <c r="W686" s="13">
        <v>9.9375</v>
      </c>
      <c r="X686" s="13">
        <v>61</v>
      </c>
      <c r="Y686" s="13">
        <v>1.82</v>
      </c>
      <c r="Z686" s="13">
        <v>2.6</v>
      </c>
    </row>
    <row r="687" spans="1:26" ht="15">
      <c r="A687" s="46" t="s">
        <v>122</v>
      </c>
      <c r="B687" s="96">
        <f>S668*A676</f>
        <v>38.532937499999996</v>
      </c>
      <c r="C687" s="513"/>
      <c r="D687" s="514"/>
      <c r="E687" s="514"/>
      <c r="M687" s="21" t="s">
        <v>62</v>
      </c>
      <c r="N687">
        <v>537</v>
      </c>
      <c r="O687">
        <v>70.695999999999998</v>
      </c>
      <c r="P687">
        <v>12.27</v>
      </c>
      <c r="Q687">
        <v>126.072</v>
      </c>
      <c r="R687">
        <v>3.2050000000000001</v>
      </c>
      <c r="S687">
        <v>41.75</v>
      </c>
      <c r="T687">
        <v>14.375</v>
      </c>
      <c r="U687">
        <v>2.5</v>
      </c>
      <c r="V687">
        <v>6</v>
      </c>
      <c r="W687">
        <v>12.9375</v>
      </c>
      <c r="X687">
        <v>80</v>
      </c>
      <c r="Y687">
        <v>1.66</v>
      </c>
      <c r="Z687">
        <v>2.62</v>
      </c>
    </row>
    <row r="688" spans="1:26">
      <c r="E688" s="10"/>
      <c r="F688" s="10"/>
      <c r="M688" s="22" t="s">
        <v>63</v>
      </c>
      <c r="N688" s="13">
        <v>537</v>
      </c>
      <c r="O688" s="13">
        <v>70.695999999999998</v>
      </c>
      <c r="P688" s="13">
        <v>18.847000000000001</v>
      </c>
      <c r="Q688" s="13">
        <v>183.79400000000001</v>
      </c>
      <c r="R688" s="13">
        <v>3.1230000000000002</v>
      </c>
      <c r="S688" s="13">
        <v>64.132000000000005</v>
      </c>
      <c r="T688" s="13">
        <v>14.375</v>
      </c>
      <c r="U688" s="13">
        <v>2.5</v>
      </c>
      <c r="V688" s="13">
        <v>6</v>
      </c>
      <c r="W688" s="13">
        <v>12.9375</v>
      </c>
      <c r="X688" s="13">
        <v>80</v>
      </c>
      <c r="Y688" s="13">
        <v>1.66</v>
      </c>
      <c r="Z688" s="13">
        <v>2.62</v>
      </c>
    </row>
    <row r="689" spans="1:26">
      <c r="A689" s="8"/>
      <c r="B689" s="9"/>
      <c r="M689" s="21" t="s">
        <v>64</v>
      </c>
      <c r="N689">
        <v>537</v>
      </c>
      <c r="O689">
        <v>88.456000000000003</v>
      </c>
      <c r="P689">
        <v>13.656000000000001</v>
      </c>
      <c r="Q689">
        <v>177.40799999999999</v>
      </c>
      <c r="R689">
        <v>3.6040000000000001</v>
      </c>
      <c r="S689">
        <v>46.466999999999999</v>
      </c>
      <c r="T689">
        <v>14.375</v>
      </c>
      <c r="U689">
        <v>2.5</v>
      </c>
      <c r="V689">
        <v>6</v>
      </c>
      <c r="W689">
        <v>13.3125</v>
      </c>
      <c r="X689">
        <v>80</v>
      </c>
      <c r="Y689">
        <v>1.06</v>
      </c>
      <c r="Z689">
        <v>1.67</v>
      </c>
    </row>
    <row r="690" spans="1:26">
      <c r="B690" s="9"/>
      <c r="M690" s="21" t="s">
        <v>65</v>
      </c>
      <c r="N690">
        <v>537</v>
      </c>
      <c r="O690">
        <v>88.456000000000003</v>
      </c>
      <c r="P690">
        <v>16.48</v>
      </c>
      <c r="Q690">
        <v>210.39400000000001</v>
      </c>
      <c r="R690">
        <v>3.573</v>
      </c>
      <c r="S690">
        <v>56.076999999999998</v>
      </c>
      <c r="T690">
        <v>14.375</v>
      </c>
      <c r="U690">
        <v>2.5</v>
      </c>
      <c r="V690">
        <v>6</v>
      </c>
      <c r="W690">
        <v>13.3125</v>
      </c>
      <c r="X690">
        <v>80</v>
      </c>
      <c r="Y690">
        <v>1.06</v>
      </c>
      <c r="Z690">
        <v>1.67</v>
      </c>
    </row>
    <row r="691" spans="1:26">
      <c r="B691" s="9"/>
      <c r="M691" s="22" t="s">
        <v>66</v>
      </c>
      <c r="N691" s="13">
        <v>537</v>
      </c>
      <c r="O691" s="13">
        <v>88.456000000000003</v>
      </c>
      <c r="P691" s="13">
        <v>20.350999999999999</v>
      </c>
      <c r="Q691" s="13">
        <v>253.547</v>
      </c>
      <c r="R691" s="13">
        <v>3.53</v>
      </c>
      <c r="S691" s="13">
        <v>69.248999999999995</v>
      </c>
      <c r="T691" s="13">
        <v>14.375</v>
      </c>
      <c r="U691" s="13">
        <v>2.5</v>
      </c>
      <c r="V691" s="13">
        <v>6</v>
      </c>
      <c r="W691" s="13">
        <v>13.3125</v>
      </c>
      <c r="X691" s="13">
        <v>80</v>
      </c>
      <c r="Y691" s="13">
        <v>1.06</v>
      </c>
      <c r="Z691" s="13">
        <v>1.67</v>
      </c>
    </row>
    <row r="692" spans="1:26">
      <c r="M692" s="21" t="s">
        <v>67</v>
      </c>
      <c r="N692">
        <v>449</v>
      </c>
      <c r="O692">
        <v>124.937</v>
      </c>
      <c r="P692">
        <v>16.503</v>
      </c>
      <c r="Q692">
        <v>306.48500000000001</v>
      </c>
      <c r="R692">
        <v>4.3090000000000002</v>
      </c>
      <c r="S692">
        <v>56.155999999999999</v>
      </c>
      <c r="T692">
        <v>0</v>
      </c>
      <c r="U692">
        <v>2.5</v>
      </c>
      <c r="V692">
        <v>6</v>
      </c>
      <c r="W692">
        <v>15.3125</v>
      </c>
      <c r="X692">
        <v>125</v>
      </c>
      <c r="Y692">
        <v>0.83899999999999997</v>
      </c>
      <c r="Z692">
        <v>0</v>
      </c>
    </row>
    <row r="693" spans="1:26">
      <c r="M693" s="22" t="s">
        <v>68</v>
      </c>
      <c r="N693" s="13">
        <v>449</v>
      </c>
      <c r="O693" s="13">
        <v>124.937</v>
      </c>
      <c r="P693" s="13">
        <v>18.78</v>
      </c>
      <c r="Q693" s="13">
        <v>345.36099999999999</v>
      </c>
      <c r="R693" s="13">
        <v>4.2880000000000003</v>
      </c>
      <c r="S693" s="13">
        <v>63.902999999999999</v>
      </c>
      <c r="T693" s="13">
        <v>0</v>
      </c>
      <c r="U693" s="13">
        <v>2.5</v>
      </c>
      <c r="V693" s="13">
        <v>6</v>
      </c>
      <c r="W693" s="13">
        <v>15.3125</v>
      </c>
      <c r="X693" s="13">
        <v>125</v>
      </c>
      <c r="Y693" s="13">
        <v>0.83899999999999997</v>
      </c>
      <c r="Z693" s="13">
        <v>0</v>
      </c>
    </row>
    <row r="694" spans="1:26">
      <c r="M694" s="22" t="s">
        <v>69</v>
      </c>
      <c r="N694" s="14">
        <v>449</v>
      </c>
      <c r="O694" s="14">
        <v>194.51900000000001</v>
      </c>
      <c r="P694" s="14">
        <v>25.079000000000001</v>
      </c>
      <c r="Q694" s="14">
        <v>726.36</v>
      </c>
      <c r="R694" s="14">
        <v>5.3819999999999997</v>
      </c>
      <c r="S694" s="14">
        <v>85.337000000000003</v>
      </c>
      <c r="T694" s="14">
        <v>0</v>
      </c>
      <c r="U694" s="14">
        <v>6</v>
      </c>
      <c r="V694" s="14">
        <v>6</v>
      </c>
      <c r="W694" s="14">
        <v>15.375</v>
      </c>
      <c r="X694" s="14">
        <v>192</v>
      </c>
      <c r="Y694" s="14">
        <v>0.54300000000000004</v>
      </c>
      <c r="Z694" s="14">
        <v>0</v>
      </c>
    </row>
    <row r="697" spans="1:26" ht="12.75">
      <c r="A697" s="3"/>
      <c r="B697" s="15"/>
      <c r="C697" s="16"/>
      <c r="D697" s="16"/>
      <c r="E697" s="16"/>
      <c r="F697" s="16"/>
      <c r="G697" s="20"/>
      <c r="H697" s="4" t="s">
        <v>1</v>
      </c>
      <c r="J697" s="4" t="s">
        <v>2</v>
      </c>
      <c r="M697" s="4" t="s">
        <v>3</v>
      </c>
    </row>
    <row r="698" spans="1:26" ht="12.75">
      <c r="A698" s="1"/>
      <c r="B698" s="1"/>
      <c r="C698" s="1"/>
      <c r="D698" s="1"/>
      <c r="E698" s="1"/>
      <c r="F698" s="1"/>
      <c r="G698" s="1"/>
      <c r="J698" s="5">
        <f>2.85*10^8</f>
        <v>285000000</v>
      </c>
      <c r="K698" s="4" t="s">
        <v>4</v>
      </c>
      <c r="N698" s="4" t="s">
        <v>5</v>
      </c>
      <c r="O698" s="6" t="s">
        <v>6</v>
      </c>
      <c r="P698" s="6" t="s">
        <v>7</v>
      </c>
      <c r="Q698" s="6" t="s">
        <v>8</v>
      </c>
      <c r="R698" s="6" t="s">
        <v>9</v>
      </c>
      <c r="S698" s="6" t="s">
        <v>10</v>
      </c>
      <c r="T698" s="6" t="s">
        <v>11</v>
      </c>
      <c r="U698" s="6" t="s">
        <v>11</v>
      </c>
      <c r="V698" s="6" t="s">
        <v>11</v>
      </c>
      <c r="W698" s="6" t="s">
        <v>11</v>
      </c>
      <c r="X698" s="6" t="s">
        <v>12</v>
      </c>
      <c r="Y698" s="520" t="s">
        <v>13</v>
      </c>
      <c r="Z698" s="520"/>
    </row>
    <row r="699" spans="1:26" ht="12.75">
      <c r="A699" s="1"/>
      <c r="B699" s="1"/>
      <c r="C699" s="1"/>
      <c r="D699" s="1"/>
      <c r="E699" s="1"/>
      <c r="F699" s="1"/>
      <c r="G699" s="1"/>
      <c r="J699">
        <f>VLOOKUP(A700,M697:Z727,4,FALSE)</f>
        <v>18.847000000000001</v>
      </c>
      <c r="K699" s="4" t="s">
        <v>14</v>
      </c>
      <c r="M699" s="4" t="s">
        <v>15</v>
      </c>
      <c r="N699" s="4" t="s">
        <v>16</v>
      </c>
      <c r="O699" s="6" t="s">
        <v>17</v>
      </c>
      <c r="P699" s="6" t="s">
        <v>17</v>
      </c>
      <c r="Q699" s="6" t="s">
        <v>18</v>
      </c>
      <c r="R699" s="6" t="s">
        <v>19</v>
      </c>
      <c r="S699" s="6" t="s">
        <v>20</v>
      </c>
      <c r="T699" s="6" t="s">
        <v>21</v>
      </c>
      <c r="U699" s="6" t="s">
        <v>22</v>
      </c>
      <c r="V699" s="6" t="s">
        <v>23</v>
      </c>
      <c r="W699" s="6" t="s">
        <v>24</v>
      </c>
      <c r="Y699" s="6" t="s">
        <v>25</v>
      </c>
      <c r="Z699" s="4" t="s">
        <v>26</v>
      </c>
    </row>
    <row r="700" spans="1:26" ht="12.75">
      <c r="A700" s="11" t="s">
        <v>63</v>
      </c>
      <c r="B700" s="3" t="s">
        <v>28</v>
      </c>
      <c r="C700" s="7"/>
      <c r="D700" s="7"/>
      <c r="E700" s="7"/>
      <c r="F700" s="7"/>
      <c r="G700" s="3" t="s">
        <v>1</v>
      </c>
      <c r="J700">
        <f>(A703)</f>
        <v>0</v>
      </c>
      <c r="K700" s="4" t="s">
        <v>29</v>
      </c>
      <c r="M700" s="21" t="s">
        <v>30</v>
      </c>
      <c r="N700">
        <v>492</v>
      </c>
      <c r="O700">
        <v>11.781000000000001</v>
      </c>
      <c r="P700">
        <v>2.8980000000000001</v>
      </c>
      <c r="Q700">
        <v>4.766</v>
      </c>
      <c r="R700">
        <v>1.282</v>
      </c>
      <c r="S700">
        <v>9.8620000000000001</v>
      </c>
      <c r="T700">
        <v>0</v>
      </c>
      <c r="U700">
        <v>3</v>
      </c>
      <c r="V700">
        <v>6.75</v>
      </c>
      <c r="W700">
        <v>9.375</v>
      </c>
      <c r="X700">
        <v>22</v>
      </c>
      <c r="Y700">
        <v>10.47</v>
      </c>
      <c r="Z700">
        <v>0</v>
      </c>
    </row>
    <row r="701" spans="1:26" ht="12.75">
      <c r="A701" s="319">
        <f>'Estimating Form'!$D$18/12+Q956</f>
        <v>1.3333333333333333</v>
      </c>
      <c r="B701" s="3" t="s">
        <v>31</v>
      </c>
      <c r="C701" s="7"/>
      <c r="D701" s="7"/>
      <c r="E701" s="7"/>
      <c r="F701" s="7"/>
      <c r="G701" s="7"/>
      <c r="J701">
        <f>VLOOKUP(A700,M697:Z728,7,FALSE)</f>
        <v>64.132000000000005</v>
      </c>
      <c r="K701" s="4" t="s">
        <v>32</v>
      </c>
      <c r="M701" s="22" t="s">
        <v>33</v>
      </c>
      <c r="N701" s="13">
        <v>492</v>
      </c>
      <c r="O701" s="13">
        <v>11.781000000000001</v>
      </c>
      <c r="P701" s="13">
        <v>5.94</v>
      </c>
      <c r="Q701" s="13">
        <v>8.33</v>
      </c>
      <c r="R701" s="13">
        <v>1.1839999999999999</v>
      </c>
      <c r="S701" s="13">
        <v>20.213999999999999</v>
      </c>
      <c r="T701" s="13">
        <v>0</v>
      </c>
      <c r="U701" s="13">
        <v>3</v>
      </c>
      <c r="V701" s="13">
        <v>6.75</v>
      </c>
      <c r="W701" s="13">
        <v>9.375</v>
      </c>
      <c r="X701" s="13">
        <v>22</v>
      </c>
      <c r="Y701" s="13">
        <v>10.47</v>
      </c>
      <c r="Z701" s="13">
        <v>0</v>
      </c>
    </row>
    <row r="702" spans="1:26" ht="12.75">
      <c r="A702" s="11">
        <v>0</v>
      </c>
      <c r="B702" s="3" t="s">
        <v>34</v>
      </c>
      <c r="C702" s="7"/>
      <c r="D702" s="7"/>
      <c r="E702" s="7"/>
      <c r="F702" s="7"/>
      <c r="G702" s="7"/>
      <c r="J702">
        <f>VLOOKUP(A700,M697:Z727,6,FALSE)</f>
        <v>3.1230000000000002</v>
      </c>
      <c r="K702" s="4" t="s">
        <v>35</v>
      </c>
      <c r="M702" s="21" t="s">
        <v>36</v>
      </c>
      <c r="N702">
        <v>594</v>
      </c>
      <c r="O702">
        <v>14.93</v>
      </c>
      <c r="P702">
        <v>3.3490000000000002</v>
      </c>
      <c r="Q702">
        <v>7.0650000000000004</v>
      </c>
      <c r="R702">
        <v>1.452</v>
      </c>
      <c r="S702">
        <v>11.396000000000001</v>
      </c>
      <c r="T702">
        <v>9.3125</v>
      </c>
      <c r="U702">
        <v>3</v>
      </c>
      <c r="V702">
        <v>5.5</v>
      </c>
      <c r="W702">
        <v>8.8125</v>
      </c>
      <c r="X702">
        <v>29</v>
      </c>
      <c r="Y702">
        <v>9.52</v>
      </c>
      <c r="Z702">
        <v>16.670000000000002</v>
      </c>
    </row>
    <row r="703" spans="1:26" ht="12.75">
      <c r="A703" s="11">
        <f>'Estimating Form'!$G$22</f>
        <v>0</v>
      </c>
      <c r="B703" s="3" t="s">
        <v>37</v>
      </c>
      <c r="C703" s="7"/>
      <c r="D703" s="7"/>
      <c r="E703" s="7"/>
      <c r="F703" s="7"/>
      <c r="G703" s="7"/>
      <c r="J703">
        <f>(A701*12+A702)</f>
        <v>16</v>
      </c>
      <c r="K703" s="4" t="s">
        <v>38</v>
      </c>
      <c r="M703" s="21" t="s">
        <v>39</v>
      </c>
      <c r="N703">
        <v>594</v>
      </c>
      <c r="O703">
        <v>14.93</v>
      </c>
      <c r="P703">
        <v>5.5170000000000003</v>
      </c>
      <c r="Q703">
        <v>10.686999999999999</v>
      </c>
      <c r="R703">
        <v>1.3919999999999999</v>
      </c>
      <c r="S703">
        <v>18.771999999999998</v>
      </c>
      <c r="T703">
        <v>9.3125</v>
      </c>
      <c r="U703">
        <v>3</v>
      </c>
      <c r="V703">
        <v>5.5</v>
      </c>
      <c r="W703">
        <v>8.8125</v>
      </c>
      <c r="X703">
        <v>29</v>
      </c>
      <c r="Y703">
        <v>9.52</v>
      </c>
      <c r="Z703">
        <v>16.670000000000002</v>
      </c>
    </row>
    <row r="704" spans="1:26" ht="12.75">
      <c r="A704" s="11">
        <f>'Estimating Form'!$D$20</f>
        <v>0</v>
      </c>
      <c r="B704" s="3" t="s">
        <v>40</v>
      </c>
      <c r="C704" s="7"/>
      <c r="D704" s="7"/>
      <c r="E704" s="7"/>
      <c r="F704" s="7"/>
      <c r="G704" s="7"/>
      <c r="J704">
        <f>(A701+A702/12)</f>
        <v>1.3333333333333333</v>
      </c>
      <c r="K704" s="4" t="s">
        <v>41</v>
      </c>
      <c r="M704" s="22" t="s">
        <v>42</v>
      </c>
      <c r="N704" s="13">
        <v>594</v>
      </c>
      <c r="O704" s="13">
        <v>14.93</v>
      </c>
      <c r="P704" s="13">
        <v>7.1269999999999998</v>
      </c>
      <c r="Q704" s="13">
        <v>12.893000000000001</v>
      </c>
      <c r="R704" s="13">
        <v>1.345</v>
      </c>
      <c r="S704" s="13">
        <v>24.251999999999999</v>
      </c>
      <c r="T704" s="13">
        <v>9.3125</v>
      </c>
      <c r="U704" s="13">
        <v>3</v>
      </c>
      <c r="V704" s="13">
        <v>5.5</v>
      </c>
      <c r="W704" s="13">
        <v>8.8125</v>
      </c>
      <c r="X704" s="13">
        <v>29</v>
      </c>
      <c r="Y704" s="13">
        <v>9.52</v>
      </c>
      <c r="Z704" s="13">
        <v>16.670000000000002</v>
      </c>
    </row>
    <row r="705" spans="1:26" ht="12.75">
      <c r="A705" s="11">
        <v>0</v>
      </c>
      <c r="B705" s="3" t="s">
        <v>43</v>
      </c>
      <c r="C705" s="7"/>
      <c r="D705" s="7"/>
      <c r="E705" s="7"/>
      <c r="F705" s="7"/>
      <c r="G705" s="7"/>
      <c r="M705" s="21" t="s">
        <v>44</v>
      </c>
      <c r="N705">
        <v>630</v>
      </c>
      <c r="O705">
        <v>23.114999999999998</v>
      </c>
      <c r="P705">
        <v>4.8</v>
      </c>
      <c r="Q705">
        <v>15.824999999999999</v>
      </c>
      <c r="R705">
        <v>1.8160000000000001</v>
      </c>
      <c r="S705">
        <v>16.332999999999998</v>
      </c>
      <c r="T705">
        <v>9.75</v>
      </c>
      <c r="U705">
        <v>3</v>
      </c>
      <c r="V705">
        <v>5.5</v>
      </c>
      <c r="W705">
        <v>9.1875</v>
      </c>
      <c r="X705">
        <v>43</v>
      </c>
      <c r="Y705">
        <v>6.95</v>
      </c>
      <c r="Z705">
        <v>10.9</v>
      </c>
    </row>
    <row r="706" spans="1:26" ht="12.75">
      <c r="A706" s="7"/>
      <c r="B706" s="7"/>
      <c r="C706" s="7"/>
      <c r="D706" s="7"/>
      <c r="E706" s="7"/>
      <c r="F706" s="7"/>
      <c r="G706" s="7"/>
      <c r="J706">
        <f>(J698*J699/(J700+(J701*J704/2)))*(J702/J703)^2</f>
        <v>4786384.3394673597</v>
      </c>
      <c r="M706" s="21" t="s">
        <v>45</v>
      </c>
      <c r="N706">
        <v>630</v>
      </c>
      <c r="O706">
        <v>23.114999999999998</v>
      </c>
      <c r="P706">
        <v>6.59</v>
      </c>
      <c r="Q706">
        <v>20.786000000000001</v>
      </c>
      <c r="R706">
        <v>1.776</v>
      </c>
      <c r="S706">
        <v>22.422000000000001</v>
      </c>
      <c r="T706">
        <v>9.75</v>
      </c>
      <c r="U706">
        <v>3</v>
      </c>
      <c r="V706">
        <v>5.5</v>
      </c>
      <c r="W706">
        <v>9.1875</v>
      </c>
      <c r="X706">
        <v>43</v>
      </c>
      <c r="Y706">
        <v>6.95</v>
      </c>
      <c r="Z706">
        <v>10.9</v>
      </c>
    </row>
    <row r="707" spans="1:26" ht="12.75">
      <c r="A707" s="12">
        <f>(J706)</f>
        <v>4786384.3394673597</v>
      </c>
      <c r="B707" s="3" t="s">
        <v>46</v>
      </c>
      <c r="C707" s="7"/>
      <c r="D707" s="7"/>
      <c r="E707" s="7"/>
      <c r="F707" s="7"/>
      <c r="G707" s="7"/>
      <c r="M707" s="21" t="s">
        <v>47</v>
      </c>
      <c r="N707">
        <v>630</v>
      </c>
      <c r="O707">
        <v>23.114999999999998</v>
      </c>
      <c r="P707">
        <v>8.5050000000000008</v>
      </c>
      <c r="Q707">
        <v>25.532</v>
      </c>
      <c r="R707">
        <v>1.7330000000000001</v>
      </c>
      <c r="S707">
        <v>28.94</v>
      </c>
      <c r="T707">
        <v>9.75</v>
      </c>
      <c r="U707">
        <v>3</v>
      </c>
      <c r="V707">
        <v>5.5</v>
      </c>
      <c r="W707">
        <v>9.1875</v>
      </c>
      <c r="X707">
        <v>43</v>
      </c>
      <c r="Y707">
        <v>6.95</v>
      </c>
      <c r="Z707">
        <v>10.9</v>
      </c>
    </row>
    <row r="708" spans="1:26" ht="12.75">
      <c r="A708" s="12">
        <f>(J712)</f>
        <v>0</v>
      </c>
      <c r="B708" s="3" t="s">
        <v>48</v>
      </c>
      <c r="C708" s="7"/>
      <c r="D708" s="7"/>
      <c r="E708" s="7"/>
      <c r="F708" s="7"/>
      <c r="G708" s="7"/>
      <c r="J708" s="4" t="s">
        <v>49</v>
      </c>
      <c r="M708" s="22" t="s">
        <v>50</v>
      </c>
      <c r="N708" s="13">
        <v>234</v>
      </c>
      <c r="O708" s="13">
        <v>23.114999999999998</v>
      </c>
      <c r="P708" s="13">
        <v>10.148999999999999</v>
      </c>
      <c r="Q708" s="13">
        <v>29.140999999999998</v>
      </c>
      <c r="R708" s="13">
        <v>1.694</v>
      </c>
      <c r="S708" s="13">
        <v>34.436</v>
      </c>
      <c r="T708" s="13">
        <v>9.75</v>
      </c>
      <c r="U708" s="13">
        <v>3</v>
      </c>
      <c r="V708" s="13">
        <v>5.5</v>
      </c>
      <c r="W708" s="13">
        <v>9.1875</v>
      </c>
      <c r="X708" s="13">
        <v>43</v>
      </c>
      <c r="Y708" s="13">
        <v>6.95</v>
      </c>
      <c r="Z708" s="13">
        <v>10.9</v>
      </c>
    </row>
    <row r="709" spans="1:26" ht="12.75">
      <c r="A709" s="11">
        <f>'Estimating Form'!$D$18/12+Q957</f>
        <v>1.90625</v>
      </c>
      <c r="B709" s="3" t="s">
        <v>957</v>
      </c>
      <c r="J709">
        <f>VLOOKUP(A700,M697:Z727,IF(A705=1,13,12)+1,FALSE)</f>
        <v>1.66</v>
      </c>
      <c r="K709" s="4" t="s">
        <v>51</v>
      </c>
      <c r="M709" s="21" t="s">
        <v>27</v>
      </c>
      <c r="N709">
        <v>630</v>
      </c>
      <c r="O709">
        <v>33.03</v>
      </c>
      <c r="P709">
        <v>5.9219999999999997</v>
      </c>
      <c r="Q709">
        <v>28.338999999999999</v>
      </c>
      <c r="R709">
        <v>2.1880000000000002</v>
      </c>
      <c r="S709">
        <v>20.149999999999999</v>
      </c>
      <c r="T709">
        <v>9.75</v>
      </c>
      <c r="U709">
        <v>3</v>
      </c>
      <c r="V709">
        <v>5.5</v>
      </c>
      <c r="W709">
        <v>9.1875</v>
      </c>
      <c r="X709">
        <v>43</v>
      </c>
      <c r="Y709">
        <v>3.41</v>
      </c>
      <c r="Z709">
        <v>5.34</v>
      </c>
    </row>
    <row r="710" spans="1:26">
      <c r="A710" s="8"/>
      <c r="B710" s="4"/>
      <c r="J710">
        <f>(A704)</f>
        <v>0</v>
      </c>
      <c r="K710" s="4" t="s">
        <v>52</v>
      </c>
      <c r="M710" s="21" t="s">
        <v>53</v>
      </c>
      <c r="N710">
        <v>630</v>
      </c>
      <c r="O710">
        <v>33.03</v>
      </c>
      <c r="P710">
        <v>9.2799999999999994</v>
      </c>
      <c r="Q710">
        <v>41.933</v>
      </c>
      <c r="R710">
        <v>2.1259999999999999</v>
      </c>
      <c r="S710">
        <v>31.579000000000001</v>
      </c>
      <c r="T710">
        <v>9.75</v>
      </c>
      <c r="U710">
        <v>3</v>
      </c>
      <c r="V710">
        <v>5.5</v>
      </c>
      <c r="W710">
        <v>9.1875</v>
      </c>
      <c r="X710">
        <v>43</v>
      </c>
      <c r="Y710">
        <v>3.41</v>
      </c>
      <c r="Z710">
        <v>5.34</v>
      </c>
    </row>
    <row r="711" spans="1:26">
      <c r="A711" s="8"/>
      <c r="B711" s="9"/>
      <c r="M711" s="21" t="s">
        <v>54</v>
      </c>
      <c r="N711">
        <v>630</v>
      </c>
      <c r="O711">
        <v>33.03</v>
      </c>
      <c r="P711">
        <v>11.898999999999999</v>
      </c>
      <c r="Q711">
        <v>51.284999999999997</v>
      </c>
      <c r="R711">
        <v>2.0760000000000001</v>
      </c>
      <c r="S711">
        <v>40.488999999999997</v>
      </c>
      <c r="T711">
        <v>9.75</v>
      </c>
      <c r="U711">
        <v>3</v>
      </c>
      <c r="V711">
        <v>5.5</v>
      </c>
      <c r="W711">
        <v>9.1875</v>
      </c>
      <c r="X711">
        <v>43</v>
      </c>
      <c r="Y711">
        <v>3.41</v>
      </c>
      <c r="Z711">
        <v>5.34</v>
      </c>
    </row>
    <row r="712" spans="1:26">
      <c r="A712" s="8"/>
      <c r="B712" s="9"/>
      <c r="J712">
        <f>(J709*(J704+4)*J710*10^-6)</f>
        <v>0</v>
      </c>
      <c r="M712" s="22" t="s">
        <v>55</v>
      </c>
      <c r="N712" s="13">
        <v>630</v>
      </c>
      <c r="O712" s="13">
        <v>33.03</v>
      </c>
      <c r="P712" s="13">
        <v>14.196</v>
      </c>
      <c r="Q712" s="13">
        <v>58.588999999999999</v>
      </c>
      <c r="R712" s="13">
        <v>2.032</v>
      </c>
      <c r="S712" s="13">
        <v>48.304000000000002</v>
      </c>
      <c r="T712" s="13">
        <v>9.75</v>
      </c>
      <c r="U712" s="13">
        <v>3</v>
      </c>
      <c r="V712" s="13">
        <v>5.5</v>
      </c>
      <c r="W712" s="13">
        <v>9.1875</v>
      </c>
      <c r="X712" s="13">
        <v>43</v>
      </c>
      <c r="Y712" s="13">
        <v>3.41</v>
      </c>
      <c r="Z712" s="13">
        <v>5.34</v>
      </c>
    </row>
    <row r="713" spans="1:26">
      <c r="A713" s="8"/>
      <c r="M713" s="21" t="s">
        <v>56</v>
      </c>
      <c r="N713">
        <v>630</v>
      </c>
      <c r="O713">
        <v>44.031999999999996</v>
      </c>
      <c r="P713">
        <v>8.109</v>
      </c>
      <c r="Q713">
        <v>51.593000000000004</v>
      </c>
      <c r="R713">
        <v>2.5219999999999998</v>
      </c>
      <c r="S713">
        <v>27.591999999999999</v>
      </c>
      <c r="T713">
        <v>10.9375</v>
      </c>
      <c r="U713">
        <v>2.5</v>
      </c>
      <c r="V713">
        <v>6</v>
      </c>
      <c r="W713">
        <v>9.9375</v>
      </c>
      <c r="X713">
        <v>61</v>
      </c>
      <c r="Y713">
        <v>3</v>
      </c>
      <c r="Z713">
        <v>4.29</v>
      </c>
    </row>
    <row r="714" spans="1:26">
      <c r="A714" s="8"/>
      <c r="B714" s="9"/>
      <c r="M714" s="21" t="s">
        <v>57</v>
      </c>
      <c r="N714">
        <v>630</v>
      </c>
      <c r="O714">
        <v>44.031999999999996</v>
      </c>
      <c r="P714">
        <v>9.4350000000000005</v>
      </c>
      <c r="Q714">
        <v>59.033999999999999</v>
      </c>
      <c r="R714">
        <v>2.5009999999999999</v>
      </c>
      <c r="S714">
        <v>32.103999999999999</v>
      </c>
      <c r="T714">
        <v>10.9375</v>
      </c>
      <c r="U714">
        <v>2.5</v>
      </c>
      <c r="V714">
        <v>6</v>
      </c>
      <c r="W714">
        <v>9.9375</v>
      </c>
      <c r="X714">
        <v>61</v>
      </c>
      <c r="Y714">
        <v>3</v>
      </c>
      <c r="Z714">
        <v>4.29</v>
      </c>
    </row>
    <row r="715" spans="1:26" ht="15.75">
      <c r="A715" s="37"/>
      <c r="B715" s="97"/>
      <c r="C715" s="515" t="s">
        <v>93</v>
      </c>
      <c r="D715" s="515"/>
      <c r="E715" s="40">
        <f>(B716-A704)/(O721)-(0.39*A701)</f>
        <v>2.5051169797442485E-2</v>
      </c>
      <c r="M715" s="23" t="s">
        <v>59</v>
      </c>
      <c r="N715">
        <v>630</v>
      </c>
      <c r="O715">
        <v>44.031999999999996</v>
      </c>
      <c r="P715">
        <v>14.49</v>
      </c>
      <c r="Q715">
        <v>84.834000000000003</v>
      </c>
      <c r="R715">
        <v>2.42</v>
      </c>
      <c r="S715">
        <v>49.305</v>
      </c>
      <c r="T715">
        <v>10.9375</v>
      </c>
      <c r="U715">
        <v>2.5</v>
      </c>
      <c r="V715">
        <v>6</v>
      </c>
      <c r="W715">
        <v>9.9375</v>
      </c>
      <c r="X715">
        <v>61</v>
      </c>
      <c r="Y715">
        <v>3</v>
      </c>
      <c r="Z715">
        <v>4.29</v>
      </c>
    </row>
    <row r="716" spans="1:26" ht="15.75">
      <c r="A716" s="37" t="s">
        <v>98</v>
      </c>
      <c r="B716" s="41">
        <f>A703+B720</f>
        <v>38.532937499999996</v>
      </c>
      <c r="C716" s="516" t="s">
        <v>99</v>
      </c>
      <c r="D716" s="516"/>
      <c r="E716" s="42">
        <f>((B716/(O721))*1.1)</f>
        <v>0.59955628677718675</v>
      </c>
      <c r="M716" s="24" t="s">
        <v>58</v>
      </c>
      <c r="N716" s="13">
        <v>630</v>
      </c>
      <c r="O716" s="13">
        <v>44.031999999999996</v>
      </c>
      <c r="P716" s="13">
        <v>19.181000000000001</v>
      </c>
      <c r="Q716" s="13">
        <v>105.14</v>
      </c>
      <c r="R716" s="13">
        <v>2.3410000000000002</v>
      </c>
      <c r="S716" s="13">
        <v>65.268000000000001</v>
      </c>
      <c r="T716" s="13">
        <v>10.9375</v>
      </c>
      <c r="U716" s="13">
        <v>2.5</v>
      </c>
      <c r="V716" s="13">
        <v>6</v>
      </c>
      <c r="W716" s="13">
        <v>9.9375</v>
      </c>
      <c r="X716" s="13">
        <v>61</v>
      </c>
      <c r="Y716" s="13">
        <v>3</v>
      </c>
      <c r="Z716" s="13">
        <v>4.29</v>
      </c>
    </row>
    <row r="717" spans="1:26" ht="15">
      <c r="A717" s="37"/>
      <c r="B717" s="38"/>
      <c r="C717" s="517" t="s">
        <v>106</v>
      </c>
      <c r="D717" s="514" t="str">
        <f>IF(E715&gt;90,"Good!","Too Low, increase GLOPU or decrease jack diameter, if above 50 use ASK ENGINEERING")</f>
        <v>Too Low, increase GLOPU or decrease jack diameter, if above 50 use ASK ENGINEERING</v>
      </c>
      <c r="E717" s="514"/>
      <c r="F717" s="10"/>
      <c r="M717" s="21" t="s">
        <v>60</v>
      </c>
      <c r="N717">
        <v>630</v>
      </c>
      <c r="O717">
        <v>56.578000000000003</v>
      </c>
      <c r="P717">
        <v>9.2829999999999995</v>
      </c>
      <c r="Q717">
        <v>76.736999999999995</v>
      </c>
      <c r="R717">
        <v>2.875</v>
      </c>
      <c r="S717">
        <v>31.588999999999999</v>
      </c>
      <c r="T717">
        <v>10.9375</v>
      </c>
      <c r="U717">
        <v>2.5</v>
      </c>
      <c r="V717">
        <v>6</v>
      </c>
      <c r="W717">
        <v>9.9375</v>
      </c>
      <c r="X717">
        <v>61</v>
      </c>
      <c r="Y717">
        <v>1.82</v>
      </c>
      <c r="Z717">
        <v>2.6</v>
      </c>
    </row>
    <row r="718" spans="1:26" ht="15.75" thickBot="1">
      <c r="A718" s="37"/>
      <c r="B718" s="44"/>
      <c r="C718" s="518"/>
      <c r="D718" s="519"/>
      <c r="E718" s="519"/>
      <c r="M718" s="21" t="s">
        <v>61</v>
      </c>
      <c r="N718">
        <v>630</v>
      </c>
      <c r="O718">
        <v>56.578000000000003</v>
      </c>
      <c r="P718">
        <v>10.734999999999999</v>
      </c>
      <c r="Q718">
        <v>87.494</v>
      </c>
      <c r="R718">
        <v>2.855</v>
      </c>
      <c r="S718">
        <v>36.527999999999999</v>
      </c>
      <c r="T718">
        <v>10.9375</v>
      </c>
      <c r="U718">
        <v>2.5</v>
      </c>
      <c r="V718">
        <v>6</v>
      </c>
      <c r="W718">
        <v>9.9375</v>
      </c>
      <c r="X718">
        <v>61</v>
      </c>
      <c r="Y718">
        <v>1.82</v>
      </c>
      <c r="Z718">
        <v>2.6</v>
      </c>
    </row>
    <row r="719" spans="1:26" ht="15">
      <c r="A719" s="37"/>
      <c r="B719" s="39"/>
      <c r="C719" s="512" t="s">
        <v>118</v>
      </c>
      <c r="D719" s="514" t="str">
        <f>IF(AND(OR('Estimating Form'!$G$46="Yes",'Estimating Form'!$G$46="Required")*E716&gt;400),"Too High, reduce GLOPU or increase plunger diameter",IF(E716&gt;490,"Too High, reduce GLOPU or increase plunger diameter","Good!"))</f>
        <v>Good!</v>
      </c>
      <c r="E719" s="514"/>
      <c r="M719" s="24" t="s">
        <v>70</v>
      </c>
      <c r="N719" s="13">
        <v>630</v>
      </c>
      <c r="O719" s="13">
        <v>56.578000000000003</v>
      </c>
      <c r="P719" s="13">
        <v>15.885999999999999</v>
      </c>
      <c r="Q719" s="13">
        <v>122.965</v>
      </c>
      <c r="R719" s="13">
        <v>2.782</v>
      </c>
      <c r="S719" s="13">
        <v>54.055</v>
      </c>
      <c r="T719" s="13">
        <v>10.9375</v>
      </c>
      <c r="U719" s="13">
        <v>2.5</v>
      </c>
      <c r="V719" s="13">
        <v>6</v>
      </c>
      <c r="W719" s="13">
        <v>9.9375</v>
      </c>
      <c r="X719" s="13">
        <v>61</v>
      </c>
      <c r="Y719" s="13">
        <v>1.82</v>
      </c>
      <c r="Z719" s="13">
        <v>2.6</v>
      </c>
    </row>
    <row r="720" spans="1:26" ht="15">
      <c r="A720" s="46" t="s">
        <v>122</v>
      </c>
      <c r="B720" s="96">
        <f>S701*A709</f>
        <v>38.532937499999996</v>
      </c>
      <c r="C720" s="513"/>
      <c r="D720" s="514"/>
      <c r="E720" s="514"/>
      <c r="M720" s="21" t="s">
        <v>62</v>
      </c>
      <c r="N720">
        <v>537</v>
      </c>
      <c r="O720">
        <v>70.695999999999998</v>
      </c>
      <c r="P720">
        <v>12.27</v>
      </c>
      <c r="Q720">
        <v>126.072</v>
      </c>
      <c r="R720">
        <v>3.2050000000000001</v>
      </c>
      <c r="S720">
        <v>41.75</v>
      </c>
      <c r="T720">
        <v>14.375</v>
      </c>
      <c r="U720">
        <v>2.5</v>
      </c>
      <c r="V720">
        <v>6</v>
      </c>
      <c r="W720">
        <v>12.9375</v>
      </c>
      <c r="X720">
        <v>80</v>
      </c>
      <c r="Y720">
        <v>1.66</v>
      </c>
      <c r="Z720">
        <v>2.62</v>
      </c>
    </row>
    <row r="721" spans="1:26">
      <c r="E721" s="10"/>
      <c r="F721" s="10"/>
      <c r="M721" s="22" t="s">
        <v>63</v>
      </c>
      <c r="N721" s="13">
        <v>537</v>
      </c>
      <c r="O721" s="13">
        <v>70.695999999999998</v>
      </c>
      <c r="P721" s="13">
        <v>18.847000000000001</v>
      </c>
      <c r="Q721" s="13">
        <v>183.79400000000001</v>
      </c>
      <c r="R721" s="13">
        <v>3.1230000000000002</v>
      </c>
      <c r="S721" s="13">
        <v>64.132000000000005</v>
      </c>
      <c r="T721" s="13">
        <v>14.375</v>
      </c>
      <c r="U721" s="13">
        <v>2.5</v>
      </c>
      <c r="V721" s="13">
        <v>6</v>
      </c>
      <c r="W721" s="13">
        <v>12.9375</v>
      </c>
      <c r="X721" s="13">
        <v>80</v>
      </c>
      <c r="Y721" s="13">
        <v>1.66</v>
      </c>
      <c r="Z721" s="13">
        <v>2.62</v>
      </c>
    </row>
    <row r="722" spans="1:26">
      <c r="A722" s="8"/>
      <c r="B722" s="9"/>
      <c r="M722" s="21" t="s">
        <v>64</v>
      </c>
      <c r="N722">
        <v>537</v>
      </c>
      <c r="O722">
        <v>88.456000000000003</v>
      </c>
      <c r="P722">
        <v>13.656000000000001</v>
      </c>
      <c r="Q722">
        <v>177.40799999999999</v>
      </c>
      <c r="R722">
        <v>3.6040000000000001</v>
      </c>
      <c r="S722">
        <v>46.466999999999999</v>
      </c>
      <c r="T722">
        <v>14.375</v>
      </c>
      <c r="U722">
        <v>2.5</v>
      </c>
      <c r="V722">
        <v>6</v>
      </c>
      <c r="W722">
        <v>13.3125</v>
      </c>
      <c r="X722">
        <v>80</v>
      </c>
      <c r="Y722">
        <v>1.06</v>
      </c>
      <c r="Z722">
        <v>1.67</v>
      </c>
    </row>
    <row r="723" spans="1:26">
      <c r="B723" s="9"/>
      <c r="M723" s="21" t="s">
        <v>65</v>
      </c>
      <c r="N723">
        <v>537</v>
      </c>
      <c r="O723">
        <v>88.456000000000003</v>
      </c>
      <c r="P723">
        <v>16.48</v>
      </c>
      <c r="Q723">
        <v>210.39400000000001</v>
      </c>
      <c r="R723">
        <v>3.573</v>
      </c>
      <c r="S723">
        <v>56.076999999999998</v>
      </c>
      <c r="T723">
        <v>14.375</v>
      </c>
      <c r="U723">
        <v>2.5</v>
      </c>
      <c r="V723">
        <v>6</v>
      </c>
      <c r="W723">
        <v>13.3125</v>
      </c>
      <c r="X723">
        <v>80</v>
      </c>
      <c r="Y723">
        <v>1.06</v>
      </c>
      <c r="Z723">
        <v>1.67</v>
      </c>
    </row>
    <row r="724" spans="1:26">
      <c r="B724" s="9"/>
      <c r="M724" s="22" t="s">
        <v>66</v>
      </c>
      <c r="N724" s="13">
        <v>537</v>
      </c>
      <c r="O724" s="13">
        <v>88.456000000000003</v>
      </c>
      <c r="P724" s="13">
        <v>20.350999999999999</v>
      </c>
      <c r="Q724" s="13">
        <v>253.547</v>
      </c>
      <c r="R724" s="13">
        <v>3.53</v>
      </c>
      <c r="S724" s="13">
        <v>69.248999999999995</v>
      </c>
      <c r="T724" s="13">
        <v>14.375</v>
      </c>
      <c r="U724" s="13">
        <v>2.5</v>
      </c>
      <c r="V724" s="13">
        <v>6</v>
      </c>
      <c r="W724" s="13">
        <v>13.3125</v>
      </c>
      <c r="X724" s="13">
        <v>80</v>
      </c>
      <c r="Y724" s="13">
        <v>1.06</v>
      </c>
      <c r="Z724" s="13">
        <v>1.67</v>
      </c>
    </row>
    <row r="725" spans="1:26">
      <c r="M725" s="21" t="s">
        <v>67</v>
      </c>
      <c r="N725">
        <v>449</v>
      </c>
      <c r="O725">
        <v>124.937</v>
      </c>
      <c r="P725">
        <v>16.503</v>
      </c>
      <c r="Q725">
        <v>306.48500000000001</v>
      </c>
      <c r="R725">
        <v>4.3090000000000002</v>
      </c>
      <c r="S725">
        <v>56.155999999999999</v>
      </c>
      <c r="T725">
        <v>0</v>
      </c>
      <c r="U725">
        <v>2.5</v>
      </c>
      <c r="V725">
        <v>6</v>
      </c>
      <c r="W725">
        <v>15.3125</v>
      </c>
      <c r="X725">
        <v>125</v>
      </c>
      <c r="Y725">
        <v>0.83899999999999997</v>
      </c>
      <c r="Z725">
        <v>0</v>
      </c>
    </row>
    <row r="726" spans="1:26">
      <c r="M726" s="22" t="s">
        <v>68</v>
      </c>
      <c r="N726" s="13">
        <v>449</v>
      </c>
      <c r="O726" s="13">
        <v>124.937</v>
      </c>
      <c r="P726" s="13">
        <v>18.78</v>
      </c>
      <c r="Q726" s="13">
        <v>345.36099999999999</v>
      </c>
      <c r="R726" s="13">
        <v>4.2880000000000003</v>
      </c>
      <c r="S726" s="13">
        <v>63.902999999999999</v>
      </c>
      <c r="T726" s="13">
        <v>0</v>
      </c>
      <c r="U726" s="13">
        <v>2.5</v>
      </c>
      <c r="V726" s="13">
        <v>6</v>
      </c>
      <c r="W726" s="13">
        <v>15.3125</v>
      </c>
      <c r="X726" s="13">
        <v>125</v>
      </c>
      <c r="Y726" s="13">
        <v>0.83899999999999997</v>
      </c>
      <c r="Z726" s="13">
        <v>0</v>
      </c>
    </row>
    <row r="727" spans="1:26">
      <c r="M727" s="22" t="s">
        <v>69</v>
      </c>
      <c r="N727" s="14">
        <v>449</v>
      </c>
      <c r="O727" s="14">
        <v>194.51900000000001</v>
      </c>
      <c r="P727" s="14">
        <v>25.079000000000001</v>
      </c>
      <c r="Q727" s="14">
        <v>726.36</v>
      </c>
      <c r="R727" s="14">
        <v>5.3819999999999997</v>
      </c>
      <c r="S727" s="14">
        <v>85.337000000000003</v>
      </c>
      <c r="T727" s="14">
        <v>0</v>
      </c>
      <c r="U727" s="14">
        <v>6</v>
      </c>
      <c r="V727" s="14">
        <v>6</v>
      </c>
      <c r="W727" s="14">
        <v>15.375</v>
      </c>
      <c r="X727" s="14">
        <v>192</v>
      </c>
      <c r="Y727" s="14">
        <v>0.54300000000000004</v>
      </c>
      <c r="Z727" s="14">
        <v>0</v>
      </c>
    </row>
    <row r="730" spans="1:26" ht="12.75">
      <c r="A730" s="3"/>
      <c r="B730" s="15"/>
      <c r="C730" s="16"/>
      <c r="D730" s="16"/>
      <c r="E730" s="16"/>
      <c r="F730" s="16"/>
      <c r="G730" s="20"/>
      <c r="H730" s="4" t="s">
        <v>1</v>
      </c>
      <c r="J730" s="4" t="s">
        <v>2</v>
      </c>
      <c r="M730" s="4" t="s">
        <v>3</v>
      </c>
    </row>
    <row r="731" spans="1:26" ht="12.75">
      <c r="A731" s="1"/>
      <c r="B731" s="1"/>
      <c r="C731" s="1"/>
      <c r="D731" s="1"/>
      <c r="E731" s="1"/>
      <c r="F731" s="1"/>
      <c r="G731" s="1"/>
      <c r="J731" s="5">
        <f>2.85*10^8</f>
        <v>285000000</v>
      </c>
      <c r="K731" s="4" t="s">
        <v>4</v>
      </c>
      <c r="N731" s="4" t="s">
        <v>5</v>
      </c>
      <c r="O731" s="6" t="s">
        <v>6</v>
      </c>
      <c r="P731" s="6" t="s">
        <v>7</v>
      </c>
      <c r="Q731" s="6" t="s">
        <v>8</v>
      </c>
      <c r="R731" s="6" t="s">
        <v>9</v>
      </c>
      <c r="S731" s="6" t="s">
        <v>10</v>
      </c>
      <c r="T731" s="6" t="s">
        <v>11</v>
      </c>
      <c r="U731" s="6" t="s">
        <v>11</v>
      </c>
      <c r="V731" s="6" t="s">
        <v>11</v>
      </c>
      <c r="W731" s="6" t="s">
        <v>11</v>
      </c>
      <c r="X731" s="6" t="s">
        <v>12</v>
      </c>
      <c r="Y731" s="520" t="s">
        <v>13</v>
      </c>
      <c r="Z731" s="520"/>
    </row>
    <row r="732" spans="1:26" ht="12.75">
      <c r="A732" s="1"/>
      <c r="B732" s="1"/>
      <c r="C732" s="1"/>
      <c r="D732" s="1"/>
      <c r="E732" s="1"/>
      <c r="F732" s="1"/>
      <c r="G732" s="1"/>
      <c r="J732">
        <f>VLOOKUP(A733,M730:Z760,4,FALSE)</f>
        <v>13.656000000000001</v>
      </c>
      <c r="K732" s="4" t="s">
        <v>14</v>
      </c>
      <c r="M732" s="4" t="s">
        <v>15</v>
      </c>
      <c r="N732" s="4" t="s">
        <v>16</v>
      </c>
      <c r="O732" s="6" t="s">
        <v>17</v>
      </c>
      <c r="P732" s="6" t="s">
        <v>17</v>
      </c>
      <c r="Q732" s="6" t="s">
        <v>18</v>
      </c>
      <c r="R732" s="6" t="s">
        <v>19</v>
      </c>
      <c r="S732" s="6" t="s">
        <v>20</v>
      </c>
      <c r="T732" s="6" t="s">
        <v>21</v>
      </c>
      <c r="U732" s="6" t="s">
        <v>22</v>
      </c>
      <c r="V732" s="6" t="s">
        <v>23</v>
      </c>
      <c r="W732" s="6" t="s">
        <v>24</v>
      </c>
      <c r="Y732" s="6" t="s">
        <v>25</v>
      </c>
      <c r="Z732" s="4" t="s">
        <v>26</v>
      </c>
    </row>
    <row r="733" spans="1:26" ht="12.75">
      <c r="A733" s="11" t="s">
        <v>64</v>
      </c>
      <c r="B733" s="3" t="s">
        <v>28</v>
      </c>
      <c r="C733" s="7"/>
      <c r="D733" s="7"/>
      <c r="E733" s="7"/>
      <c r="F733" s="7"/>
      <c r="G733" s="3" t="s">
        <v>1</v>
      </c>
      <c r="J733">
        <f>(A736)</f>
        <v>0</v>
      </c>
      <c r="K733" s="4" t="s">
        <v>29</v>
      </c>
      <c r="M733" s="21" t="s">
        <v>30</v>
      </c>
      <c r="N733">
        <v>492</v>
      </c>
      <c r="O733">
        <v>11.781000000000001</v>
      </c>
      <c r="P733">
        <v>2.8980000000000001</v>
      </c>
      <c r="Q733">
        <v>4.766</v>
      </c>
      <c r="R733">
        <v>1.282</v>
      </c>
      <c r="S733">
        <v>9.8620000000000001</v>
      </c>
      <c r="T733">
        <v>0</v>
      </c>
      <c r="U733">
        <v>3</v>
      </c>
      <c r="V733">
        <v>6.75</v>
      </c>
      <c r="W733">
        <v>9.375</v>
      </c>
      <c r="X733">
        <v>22</v>
      </c>
      <c r="Y733">
        <v>10.47</v>
      </c>
      <c r="Z733">
        <v>0</v>
      </c>
    </row>
    <row r="734" spans="1:26" ht="12.75">
      <c r="A734" s="319">
        <f>'Estimating Form'!$D$18/12+R956</f>
        <v>1.3333333333333333</v>
      </c>
      <c r="B734" s="3" t="s">
        <v>31</v>
      </c>
      <c r="C734" s="7"/>
      <c r="D734" s="7"/>
      <c r="E734" s="7"/>
      <c r="F734" s="7"/>
      <c r="G734" s="7"/>
      <c r="J734">
        <f>VLOOKUP(A733,M730:Z761,7,FALSE)</f>
        <v>46.466999999999999</v>
      </c>
      <c r="K734" s="4" t="s">
        <v>32</v>
      </c>
      <c r="M734" s="22" t="s">
        <v>33</v>
      </c>
      <c r="N734" s="13">
        <v>492</v>
      </c>
      <c r="O734" s="13">
        <v>11.781000000000001</v>
      </c>
      <c r="P734" s="13">
        <v>5.94</v>
      </c>
      <c r="Q734" s="13">
        <v>8.33</v>
      </c>
      <c r="R734" s="13">
        <v>1.1839999999999999</v>
      </c>
      <c r="S734" s="13">
        <v>20.213999999999999</v>
      </c>
      <c r="T734" s="13">
        <v>0</v>
      </c>
      <c r="U734" s="13">
        <v>3</v>
      </c>
      <c r="V734" s="13">
        <v>6.75</v>
      </c>
      <c r="W734" s="13">
        <v>9.375</v>
      </c>
      <c r="X734" s="13">
        <v>22</v>
      </c>
      <c r="Y734" s="13">
        <v>10.47</v>
      </c>
      <c r="Z734" s="13">
        <v>0</v>
      </c>
    </row>
    <row r="735" spans="1:26" ht="12.75">
      <c r="A735" s="11">
        <v>0</v>
      </c>
      <c r="B735" s="3" t="s">
        <v>34</v>
      </c>
      <c r="C735" s="7"/>
      <c r="D735" s="7"/>
      <c r="E735" s="7"/>
      <c r="F735" s="7"/>
      <c r="G735" s="7"/>
      <c r="J735">
        <f>VLOOKUP(A733,M730:Z760,6,FALSE)</f>
        <v>3.6040000000000001</v>
      </c>
      <c r="K735" s="4" t="s">
        <v>35</v>
      </c>
      <c r="M735" s="21" t="s">
        <v>36</v>
      </c>
      <c r="N735">
        <v>594</v>
      </c>
      <c r="O735">
        <v>14.93</v>
      </c>
      <c r="P735">
        <v>3.3490000000000002</v>
      </c>
      <c r="Q735">
        <v>7.0650000000000004</v>
      </c>
      <c r="R735">
        <v>1.452</v>
      </c>
      <c r="S735">
        <v>11.396000000000001</v>
      </c>
      <c r="T735">
        <v>9.3125</v>
      </c>
      <c r="U735">
        <v>3</v>
      </c>
      <c r="V735">
        <v>5.5</v>
      </c>
      <c r="W735">
        <v>8.8125</v>
      </c>
      <c r="X735">
        <v>29</v>
      </c>
      <c r="Y735">
        <v>9.52</v>
      </c>
      <c r="Z735">
        <v>16.670000000000002</v>
      </c>
    </row>
    <row r="736" spans="1:26" ht="12.75">
      <c r="A736" s="11">
        <f>'Estimating Form'!$G$22</f>
        <v>0</v>
      </c>
      <c r="B736" s="3" t="s">
        <v>37</v>
      </c>
      <c r="C736" s="7"/>
      <c r="D736" s="7"/>
      <c r="E736" s="7"/>
      <c r="F736" s="7"/>
      <c r="G736" s="7"/>
      <c r="J736">
        <f>(A734*12+A735)</f>
        <v>16</v>
      </c>
      <c r="K736" s="4" t="s">
        <v>38</v>
      </c>
      <c r="M736" s="21" t="s">
        <v>39</v>
      </c>
      <c r="N736">
        <v>594</v>
      </c>
      <c r="O736">
        <v>14.93</v>
      </c>
      <c r="P736">
        <v>5.5170000000000003</v>
      </c>
      <c r="Q736">
        <v>10.686999999999999</v>
      </c>
      <c r="R736">
        <v>1.3919999999999999</v>
      </c>
      <c r="S736">
        <v>18.771999999999998</v>
      </c>
      <c r="T736">
        <v>9.3125</v>
      </c>
      <c r="U736">
        <v>3</v>
      </c>
      <c r="V736">
        <v>5.5</v>
      </c>
      <c r="W736">
        <v>8.8125</v>
      </c>
      <c r="X736">
        <v>29</v>
      </c>
      <c r="Y736">
        <v>9.52</v>
      </c>
      <c r="Z736">
        <v>16.670000000000002</v>
      </c>
    </row>
    <row r="737" spans="1:26" ht="12.75">
      <c r="A737" s="11">
        <f>'Estimating Form'!$D$20</f>
        <v>0</v>
      </c>
      <c r="B737" s="3" t="s">
        <v>40</v>
      </c>
      <c r="C737" s="7"/>
      <c r="D737" s="7"/>
      <c r="E737" s="7"/>
      <c r="F737" s="7"/>
      <c r="G737" s="7"/>
      <c r="J737">
        <f>(A734+A735/12)</f>
        <v>1.3333333333333333</v>
      </c>
      <c r="K737" s="4" t="s">
        <v>41</v>
      </c>
      <c r="M737" s="22" t="s">
        <v>42</v>
      </c>
      <c r="N737" s="13">
        <v>594</v>
      </c>
      <c r="O737" s="13">
        <v>14.93</v>
      </c>
      <c r="P737" s="13">
        <v>7.1269999999999998</v>
      </c>
      <c r="Q737" s="13">
        <v>12.893000000000001</v>
      </c>
      <c r="R737" s="13">
        <v>1.345</v>
      </c>
      <c r="S737" s="13">
        <v>24.251999999999999</v>
      </c>
      <c r="T737" s="13">
        <v>9.3125</v>
      </c>
      <c r="U737" s="13">
        <v>3</v>
      </c>
      <c r="V737" s="13">
        <v>5.5</v>
      </c>
      <c r="W737" s="13">
        <v>8.8125</v>
      </c>
      <c r="X737" s="13">
        <v>29</v>
      </c>
      <c r="Y737" s="13">
        <v>9.52</v>
      </c>
      <c r="Z737" s="13">
        <v>16.670000000000002</v>
      </c>
    </row>
    <row r="738" spans="1:26" ht="12.75">
      <c r="A738" s="11">
        <v>0</v>
      </c>
      <c r="B738" s="3" t="s">
        <v>43</v>
      </c>
      <c r="C738" s="7"/>
      <c r="D738" s="7"/>
      <c r="E738" s="7"/>
      <c r="F738" s="7"/>
      <c r="G738" s="7"/>
      <c r="M738" s="21" t="s">
        <v>44</v>
      </c>
      <c r="N738">
        <v>630</v>
      </c>
      <c r="O738">
        <v>23.114999999999998</v>
      </c>
      <c r="P738">
        <v>4.8</v>
      </c>
      <c r="Q738">
        <v>15.824999999999999</v>
      </c>
      <c r="R738">
        <v>1.8160000000000001</v>
      </c>
      <c r="S738">
        <v>16.332999999999998</v>
      </c>
      <c r="T738">
        <v>9.75</v>
      </c>
      <c r="U738">
        <v>3</v>
      </c>
      <c r="V738">
        <v>5.5</v>
      </c>
      <c r="W738">
        <v>9.1875</v>
      </c>
      <c r="X738">
        <v>43</v>
      </c>
      <c r="Y738">
        <v>6.95</v>
      </c>
      <c r="Z738">
        <v>10.9</v>
      </c>
    </row>
    <row r="739" spans="1:26" ht="12.75">
      <c r="A739" s="7"/>
      <c r="B739" s="7"/>
      <c r="C739" s="7"/>
      <c r="D739" s="7"/>
      <c r="E739" s="7"/>
      <c r="F739" s="7"/>
      <c r="G739" s="7"/>
      <c r="J739">
        <f>(J731*J732/(J733+(J734*J737/2)))*(J735/J736)^2</f>
        <v>6374477.4920104593</v>
      </c>
      <c r="M739" s="21" t="s">
        <v>45</v>
      </c>
      <c r="N739">
        <v>630</v>
      </c>
      <c r="O739">
        <v>23.114999999999998</v>
      </c>
      <c r="P739">
        <v>6.59</v>
      </c>
      <c r="Q739">
        <v>20.786000000000001</v>
      </c>
      <c r="R739">
        <v>1.776</v>
      </c>
      <c r="S739">
        <v>22.422000000000001</v>
      </c>
      <c r="T739">
        <v>9.75</v>
      </c>
      <c r="U739">
        <v>3</v>
      </c>
      <c r="V739">
        <v>5.5</v>
      </c>
      <c r="W739">
        <v>9.1875</v>
      </c>
      <c r="X739">
        <v>43</v>
      </c>
      <c r="Y739">
        <v>6.95</v>
      </c>
      <c r="Z739">
        <v>10.9</v>
      </c>
    </row>
    <row r="740" spans="1:26" ht="12.75">
      <c r="A740" s="12">
        <f>(J739)</f>
        <v>6374477.4920104593</v>
      </c>
      <c r="B740" s="3" t="s">
        <v>46</v>
      </c>
      <c r="C740" s="7"/>
      <c r="D740" s="7"/>
      <c r="E740" s="7"/>
      <c r="F740" s="7"/>
      <c r="G740" s="7"/>
      <c r="M740" s="21" t="s">
        <v>47</v>
      </c>
      <c r="N740">
        <v>630</v>
      </c>
      <c r="O740">
        <v>23.114999999999998</v>
      </c>
      <c r="P740">
        <v>8.5050000000000008</v>
      </c>
      <c r="Q740">
        <v>25.532</v>
      </c>
      <c r="R740">
        <v>1.7330000000000001</v>
      </c>
      <c r="S740">
        <v>28.94</v>
      </c>
      <c r="T740">
        <v>9.75</v>
      </c>
      <c r="U740">
        <v>3</v>
      </c>
      <c r="V740">
        <v>5.5</v>
      </c>
      <c r="W740">
        <v>9.1875</v>
      </c>
      <c r="X740">
        <v>43</v>
      </c>
      <c r="Y740">
        <v>6.95</v>
      </c>
      <c r="Z740">
        <v>10.9</v>
      </c>
    </row>
    <row r="741" spans="1:26" ht="12.75">
      <c r="A741" s="12">
        <f>(J745)</f>
        <v>0</v>
      </c>
      <c r="B741" s="3" t="s">
        <v>48</v>
      </c>
      <c r="C741" s="7"/>
      <c r="D741" s="7"/>
      <c r="E741" s="7"/>
      <c r="F741" s="7"/>
      <c r="G741" s="7"/>
      <c r="J741" s="4" t="s">
        <v>49</v>
      </c>
      <c r="M741" s="22" t="s">
        <v>50</v>
      </c>
      <c r="N741" s="13">
        <v>234</v>
      </c>
      <c r="O741" s="13">
        <v>23.114999999999998</v>
      </c>
      <c r="P741" s="13">
        <v>10.148999999999999</v>
      </c>
      <c r="Q741" s="13">
        <v>29.140999999999998</v>
      </c>
      <c r="R741" s="13">
        <v>1.694</v>
      </c>
      <c r="S741" s="13">
        <v>34.436</v>
      </c>
      <c r="T741" s="13">
        <v>9.75</v>
      </c>
      <c r="U741" s="13">
        <v>3</v>
      </c>
      <c r="V741" s="13">
        <v>5.5</v>
      </c>
      <c r="W741" s="13">
        <v>9.1875</v>
      </c>
      <c r="X741" s="13">
        <v>43</v>
      </c>
      <c r="Y741" s="13">
        <v>6.95</v>
      </c>
      <c r="Z741" s="13">
        <v>10.9</v>
      </c>
    </row>
    <row r="742" spans="1:26" ht="12.75">
      <c r="A742" s="11">
        <f>'Estimating Form'!$D$18/12+R957</f>
        <v>1.9479166666666667</v>
      </c>
      <c r="B742" s="3" t="s">
        <v>957</v>
      </c>
      <c r="J742">
        <f>VLOOKUP(A733,M730:Z760,IF(A738=1,13,12)+1,FALSE)</f>
        <v>1.06</v>
      </c>
      <c r="K742" s="4" t="s">
        <v>51</v>
      </c>
      <c r="M742" s="21" t="s">
        <v>27</v>
      </c>
      <c r="N742">
        <v>630</v>
      </c>
      <c r="O742">
        <v>33.03</v>
      </c>
      <c r="P742">
        <v>5.9219999999999997</v>
      </c>
      <c r="Q742">
        <v>28.338999999999999</v>
      </c>
      <c r="R742">
        <v>2.1880000000000002</v>
      </c>
      <c r="S742">
        <v>20.149999999999999</v>
      </c>
      <c r="T742">
        <v>9.75</v>
      </c>
      <c r="U742">
        <v>3</v>
      </c>
      <c r="V742">
        <v>5.5</v>
      </c>
      <c r="W742">
        <v>9.1875</v>
      </c>
      <c r="X742">
        <v>43</v>
      </c>
      <c r="Y742">
        <v>3.41</v>
      </c>
      <c r="Z742">
        <v>5.34</v>
      </c>
    </row>
    <row r="743" spans="1:26">
      <c r="A743" s="8"/>
      <c r="B743" s="4"/>
      <c r="J743">
        <f>(A737)</f>
        <v>0</v>
      </c>
      <c r="K743" s="4" t="s">
        <v>52</v>
      </c>
      <c r="M743" s="21" t="s">
        <v>53</v>
      </c>
      <c r="N743">
        <v>630</v>
      </c>
      <c r="O743">
        <v>33.03</v>
      </c>
      <c r="P743">
        <v>9.2799999999999994</v>
      </c>
      <c r="Q743">
        <v>41.933</v>
      </c>
      <c r="R743">
        <v>2.1259999999999999</v>
      </c>
      <c r="S743">
        <v>31.579000000000001</v>
      </c>
      <c r="T743">
        <v>9.75</v>
      </c>
      <c r="U743">
        <v>3</v>
      </c>
      <c r="V743">
        <v>5.5</v>
      </c>
      <c r="W743">
        <v>9.1875</v>
      </c>
      <c r="X743">
        <v>43</v>
      </c>
      <c r="Y743">
        <v>3.41</v>
      </c>
      <c r="Z743">
        <v>5.34</v>
      </c>
    </row>
    <row r="744" spans="1:26">
      <c r="A744" s="8"/>
      <c r="B744" s="9"/>
      <c r="M744" s="21" t="s">
        <v>54</v>
      </c>
      <c r="N744">
        <v>630</v>
      </c>
      <c r="O744">
        <v>33.03</v>
      </c>
      <c r="P744">
        <v>11.898999999999999</v>
      </c>
      <c r="Q744">
        <v>51.284999999999997</v>
      </c>
      <c r="R744">
        <v>2.0760000000000001</v>
      </c>
      <c r="S744">
        <v>40.488999999999997</v>
      </c>
      <c r="T744">
        <v>9.75</v>
      </c>
      <c r="U744">
        <v>3</v>
      </c>
      <c r="V744">
        <v>5.5</v>
      </c>
      <c r="W744">
        <v>9.1875</v>
      </c>
      <c r="X744">
        <v>43</v>
      </c>
      <c r="Y744">
        <v>3.41</v>
      </c>
      <c r="Z744">
        <v>5.34</v>
      </c>
    </row>
    <row r="745" spans="1:26">
      <c r="A745" s="8"/>
      <c r="B745" s="9"/>
      <c r="J745">
        <f>(J742*(J737+4)*J743*10^-6)</f>
        <v>0</v>
      </c>
      <c r="M745" s="22" t="s">
        <v>55</v>
      </c>
      <c r="N745" s="13">
        <v>630</v>
      </c>
      <c r="O745" s="13">
        <v>33.03</v>
      </c>
      <c r="P745" s="13">
        <v>14.196</v>
      </c>
      <c r="Q745" s="13">
        <v>58.588999999999999</v>
      </c>
      <c r="R745" s="13">
        <v>2.032</v>
      </c>
      <c r="S745" s="13">
        <v>48.304000000000002</v>
      </c>
      <c r="T745" s="13">
        <v>9.75</v>
      </c>
      <c r="U745" s="13">
        <v>3</v>
      </c>
      <c r="V745" s="13">
        <v>5.5</v>
      </c>
      <c r="W745" s="13">
        <v>9.1875</v>
      </c>
      <c r="X745" s="13">
        <v>43</v>
      </c>
      <c r="Y745" s="13">
        <v>3.41</v>
      </c>
      <c r="Z745" s="13">
        <v>5.34</v>
      </c>
    </row>
    <row r="746" spans="1:26">
      <c r="A746" s="8"/>
      <c r="M746" s="21" t="s">
        <v>56</v>
      </c>
      <c r="N746">
        <v>630</v>
      </c>
      <c r="O746">
        <v>44.031999999999996</v>
      </c>
      <c r="P746">
        <v>8.109</v>
      </c>
      <c r="Q746">
        <v>51.593000000000004</v>
      </c>
      <c r="R746">
        <v>2.5219999999999998</v>
      </c>
      <c r="S746">
        <v>27.591999999999999</v>
      </c>
      <c r="T746">
        <v>10.9375</v>
      </c>
      <c r="U746">
        <v>2.5</v>
      </c>
      <c r="V746">
        <v>6</v>
      </c>
      <c r="W746">
        <v>9.9375</v>
      </c>
      <c r="X746">
        <v>61</v>
      </c>
      <c r="Y746">
        <v>3</v>
      </c>
      <c r="Z746">
        <v>4.29</v>
      </c>
    </row>
    <row r="747" spans="1:26">
      <c r="A747" s="8"/>
      <c r="B747" s="9"/>
      <c r="M747" s="21" t="s">
        <v>57</v>
      </c>
      <c r="N747">
        <v>630</v>
      </c>
      <c r="O747">
        <v>44.031999999999996</v>
      </c>
      <c r="P747">
        <v>9.4350000000000005</v>
      </c>
      <c r="Q747">
        <v>59.033999999999999</v>
      </c>
      <c r="R747">
        <v>2.5009999999999999</v>
      </c>
      <c r="S747">
        <v>32.103999999999999</v>
      </c>
      <c r="T747">
        <v>10.9375</v>
      </c>
      <c r="U747">
        <v>2.5</v>
      </c>
      <c r="V747">
        <v>6</v>
      </c>
      <c r="W747">
        <v>9.9375</v>
      </c>
      <c r="X747">
        <v>61</v>
      </c>
      <c r="Y747">
        <v>3</v>
      </c>
      <c r="Z747">
        <v>4.29</v>
      </c>
    </row>
    <row r="748" spans="1:26" ht="15.75">
      <c r="A748" s="37"/>
      <c r="B748" s="97"/>
      <c r="C748" s="515" t="s">
        <v>93</v>
      </c>
      <c r="D748" s="515"/>
      <c r="E748" s="40">
        <f>(B749-A737)/(O755)-(0.39*A734)</f>
        <v>-7.4861315230171033E-2</v>
      </c>
      <c r="M748" s="23" t="s">
        <v>59</v>
      </c>
      <c r="N748">
        <v>630</v>
      </c>
      <c r="O748">
        <v>44.031999999999996</v>
      </c>
      <c r="P748">
        <v>14.49</v>
      </c>
      <c r="Q748">
        <v>84.834000000000003</v>
      </c>
      <c r="R748">
        <v>2.42</v>
      </c>
      <c r="S748">
        <v>49.305</v>
      </c>
      <c r="T748">
        <v>10.9375</v>
      </c>
      <c r="U748">
        <v>2.5</v>
      </c>
      <c r="V748">
        <v>6</v>
      </c>
      <c r="W748">
        <v>9.9375</v>
      </c>
      <c r="X748">
        <v>61</v>
      </c>
      <c r="Y748">
        <v>3</v>
      </c>
      <c r="Z748">
        <v>4.29</v>
      </c>
    </row>
    <row r="749" spans="1:26" ht="15.75">
      <c r="A749" s="37" t="s">
        <v>98</v>
      </c>
      <c r="B749" s="41">
        <f>A736+B753</f>
        <v>39.375187499999996</v>
      </c>
      <c r="C749" s="516" t="s">
        <v>99</v>
      </c>
      <c r="D749" s="516"/>
      <c r="E749" s="42">
        <f>((B749/(O755))*1.1)</f>
        <v>0.48965255324681195</v>
      </c>
      <c r="M749" s="24" t="s">
        <v>58</v>
      </c>
      <c r="N749" s="13">
        <v>630</v>
      </c>
      <c r="O749" s="13">
        <v>44.031999999999996</v>
      </c>
      <c r="P749" s="13">
        <v>19.181000000000001</v>
      </c>
      <c r="Q749" s="13">
        <v>105.14</v>
      </c>
      <c r="R749" s="13">
        <v>2.3410000000000002</v>
      </c>
      <c r="S749" s="13">
        <v>65.268000000000001</v>
      </c>
      <c r="T749" s="13">
        <v>10.9375</v>
      </c>
      <c r="U749" s="13">
        <v>2.5</v>
      </c>
      <c r="V749" s="13">
        <v>6</v>
      </c>
      <c r="W749" s="13">
        <v>9.9375</v>
      </c>
      <c r="X749" s="13">
        <v>61</v>
      </c>
      <c r="Y749" s="13">
        <v>3</v>
      </c>
      <c r="Z749" s="13">
        <v>4.29</v>
      </c>
    </row>
    <row r="750" spans="1:26" ht="15">
      <c r="A750" s="37"/>
      <c r="B750" s="38"/>
      <c r="C750" s="517" t="s">
        <v>106</v>
      </c>
      <c r="D750" s="514" t="str">
        <f>IF(E748&gt;90,"Good!","Too Low, increase GLOPU or decrease jack diameter, if above 50 use ASK ENGINEERING")</f>
        <v>Too Low, increase GLOPU or decrease jack diameter, if above 50 use ASK ENGINEERING</v>
      </c>
      <c r="E750" s="514"/>
      <c r="F750" s="10"/>
      <c r="M750" s="21" t="s">
        <v>60</v>
      </c>
      <c r="N750">
        <v>630</v>
      </c>
      <c r="O750">
        <v>56.578000000000003</v>
      </c>
      <c r="P750">
        <v>9.2829999999999995</v>
      </c>
      <c r="Q750">
        <v>76.736999999999995</v>
      </c>
      <c r="R750">
        <v>2.875</v>
      </c>
      <c r="S750">
        <v>31.588999999999999</v>
      </c>
      <c r="T750">
        <v>10.9375</v>
      </c>
      <c r="U750">
        <v>2.5</v>
      </c>
      <c r="V750">
        <v>6</v>
      </c>
      <c r="W750">
        <v>9.9375</v>
      </c>
      <c r="X750">
        <v>61</v>
      </c>
      <c r="Y750">
        <v>1.82</v>
      </c>
      <c r="Z750">
        <v>2.6</v>
      </c>
    </row>
    <row r="751" spans="1:26" ht="15.75" thickBot="1">
      <c r="A751" s="37"/>
      <c r="B751" s="44"/>
      <c r="C751" s="518"/>
      <c r="D751" s="519"/>
      <c r="E751" s="519"/>
      <c r="M751" s="21" t="s">
        <v>61</v>
      </c>
      <c r="N751">
        <v>630</v>
      </c>
      <c r="O751">
        <v>56.578000000000003</v>
      </c>
      <c r="P751">
        <v>10.734999999999999</v>
      </c>
      <c r="Q751">
        <v>87.494</v>
      </c>
      <c r="R751">
        <v>2.855</v>
      </c>
      <c r="S751">
        <v>36.527999999999999</v>
      </c>
      <c r="T751">
        <v>10.9375</v>
      </c>
      <c r="U751">
        <v>2.5</v>
      </c>
      <c r="V751">
        <v>6</v>
      </c>
      <c r="W751">
        <v>9.9375</v>
      </c>
      <c r="X751">
        <v>61</v>
      </c>
      <c r="Y751">
        <v>1.82</v>
      </c>
      <c r="Z751">
        <v>2.6</v>
      </c>
    </row>
    <row r="752" spans="1:26" ht="15">
      <c r="A752" s="37"/>
      <c r="B752" s="39"/>
      <c r="C752" s="512" t="s">
        <v>118</v>
      </c>
      <c r="D752" s="514" t="str">
        <f>IF(AND(OR('Estimating Form'!$G$46="Yes",'Estimating Form'!$G$46="Required")*E749&gt;400),"Too High, reduce GLOPU or increase plunger diameter",IF(E749&gt;490,"Too High, reduce GLOPU or increase plunger diameter","Good!"))</f>
        <v>Good!</v>
      </c>
      <c r="E752" s="514"/>
      <c r="M752" s="24" t="s">
        <v>70</v>
      </c>
      <c r="N752" s="13">
        <v>630</v>
      </c>
      <c r="O752" s="13">
        <v>56.578000000000003</v>
      </c>
      <c r="P752" s="13">
        <v>15.885999999999999</v>
      </c>
      <c r="Q752" s="13">
        <v>122.965</v>
      </c>
      <c r="R752" s="13">
        <v>2.782</v>
      </c>
      <c r="S752" s="13">
        <v>54.055</v>
      </c>
      <c r="T752" s="13">
        <v>10.9375</v>
      </c>
      <c r="U752" s="13">
        <v>2.5</v>
      </c>
      <c r="V752" s="13">
        <v>6</v>
      </c>
      <c r="W752" s="13">
        <v>9.9375</v>
      </c>
      <c r="X752" s="13">
        <v>61</v>
      </c>
      <c r="Y752" s="13">
        <v>1.82</v>
      </c>
      <c r="Z752" s="13">
        <v>2.6</v>
      </c>
    </row>
    <row r="753" spans="1:26" ht="15">
      <c r="A753" s="46" t="s">
        <v>122</v>
      </c>
      <c r="B753" s="96">
        <f>S734*A742</f>
        <v>39.375187499999996</v>
      </c>
      <c r="C753" s="513"/>
      <c r="D753" s="514"/>
      <c r="E753" s="514"/>
      <c r="M753" s="21" t="s">
        <v>62</v>
      </c>
      <c r="N753">
        <v>537</v>
      </c>
      <c r="O753">
        <v>70.695999999999998</v>
      </c>
      <c r="P753">
        <v>12.27</v>
      </c>
      <c r="Q753">
        <v>126.072</v>
      </c>
      <c r="R753">
        <v>3.2050000000000001</v>
      </c>
      <c r="S753">
        <v>41.75</v>
      </c>
      <c r="T753">
        <v>14.375</v>
      </c>
      <c r="U753">
        <v>2.5</v>
      </c>
      <c r="V753">
        <v>6</v>
      </c>
      <c r="W753">
        <v>12.9375</v>
      </c>
      <c r="X753">
        <v>80</v>
      </c>
      <c r="Y753">
        <v>1.66</v>
      </c>
      <c r="Z753">
        <v>2.62</v>
      </c>
    </row>
    <row r="754" spans="1:26">
      <c r="E754" s="10"/>
      <c r="F754" s="10"/>
      <c r="M754" s="22" t="s">
        <v>63</v>
      </c>
      <c r="N754" s="13">
        <v>537</v>
      </c>
      <c r="O754" s="13">
        <v>70.695999999999998</v>
      </c>
      <c r="P754" s="13">
        <v>18.847000000000001</v>
      </c>
      <c r="Q754" s="13">
        <v>183.79400000000001</v>
      </c>
      <c r="R754" s="13">
        <v>3.1230000000000002</v>
      </c>
      <c r="S754" s="13">
        <v>64.132000000000005</v>
      </c>
      <c r="T754" s="13">
        <v>14.375</v>
      </c>
      <c r="U754" s="13">
        <v>2.5</v>
      </c>
      <c r="V754" s="13">
        <v>6</v>
      </c>
      <c r="W754" s="13">
        <v>12.9375</v>
      </c>
      <c r="X754" s="13">
        <v>80</v>
      </c>
      <c r="Y754" s="13">
        <v>1.66</v>
      </c>
      <c r="Z754" s="13">
        <v>2.62</v>
      </c>
    </row>
    <row r="755" spans="1:26">
      <c r="A755" s="8"/>
      <c r="B755" s="9"/>
      <c r="M755" s="21" t="s">
        <v>64</v>
      </c>
      <c r="N755">
        <v>537</v>
      </c>
      <c r="O755">
        <v>88.456000000000003</v>
      </c>
      <c r="P755">
        <v>13.656000000000001</v>
      </c>
      <c r="Q755">
        <v>177.40799999999999</v>
      </c>
      <c r="R755">
        <v>3.6040000000000001</v>
      </c>
      <c r="S755">
        <v>46.466999999999999</v>
      </c>
      <c r="T755">
        <v>14.375</v>
      </c>
      <c r="U755">
        <v>2.5</v>
      </c>
      <c r="V755">
        <v>6</v>
      </c>
      <c r="W755">
        <v>13.3125</v>
      </c>
      <c r="X755">
        <v>80</v>
      </c>
      <c r="Y755">
        <v>1.06</v>
      </c>
      <c r="Z755">
        <v>1.67</v>
      </c>
    </row>
    <row r="756" spans="1:26">
      <c r="B756" s="9"/>
      <c r="M756" s="21" t="s">
        <v>65</v>
      </c>
      <c r="N756">
        <v>537</v>
      </c>
      <c r="O756">
        <v>88.456000000000003</v>
      </c>
      <c r="P756">
        <v>16.48</v>
      </c>
      <c r="Q756">
        <v>210.39400000000001</v>
      </c>
      <c r="R756">
        <v>3.573</v>
      </c>
      <c r="S756">
        <v>56.076999999999998</v>
      </c>
      <c r="T756">
        <v>14.375</v>
      </c>
      <c r="U756">
        <v>2.5</v>
      </c>
      <c r="V756">
        <v>6</v>
      </c>
      <c r="W756">
        <v>13.3125</v>
      </c>
      <c r="X756">
        <v>80</v>
      </c>
      <c r="Y756">
        <v>1.06</v>
      </c>
      <c r="Z756">
        <v>1.67</v>
      </c>
    </row>
    <row r="757" spans="1:26">
      <c r="B757" s="9"/>
      <c r="M757" s="22" t="s">
        <v>66</v>
      </c>
      <c r="N757" s="13">
        <v>537</v>
      </c>
      <c r="O757" s="13">
        <v>88.456000000000003</v>
      </c>
      <c r="P757" s="13">
        <v>20.350999999999999</v>
      </c>
      <c r="Q757" s="13">
        <v>253.547</v>
      </c>
      <c r="R757" s="13">
        <v>3.53</v>
      </c>
      <c r="S757" s="13">
        <v>69.248999999999995</v>
      </c>
      <c r="T757" s="13">
        <v>14.375</v>
      </c>
      <c r="U757" s="13">
        <v>2.5</v>
      </c>
      <c r="V757" s="13">
        <v>6</v>
      </c>
      <c r="W757" s="13">
        <v>13.3125</v>
      </c>
      <c r="X757" s="13">
        <v>80</v>
      </c>
      <c r="Y757" s="13">
        <v>1.06</v>
      </c>
      <c r="Z757" s="13">
        <v>1.67</v>
      </c>
    </row>
    <row r="758" spans="1:26">
      <c r="M758" s="21" t="s">
        <v>67</v>
      </c>
      <c r="N758">
        <v>449</v>
      </c>
      <c r="O758">
        <v>124.937</v>
      </c>
      <c r="P758">
        <v>16.503</v>
      </c>
      <c r="Q758">
        <v>306.48500000000001</v>
      </c>
      <c r="R758">
        <v>4.3090000000000002</v>
      </c>
      <c r="S758">
        <v>56.155999999999999</v>
      </c>
      <c r="T758">
        <v>0</v>
      </c>
      <c r="U758">
        <v>2.5</v>
      </c>
      <c r="V758">
        <v>6</v>
      </c>
      <c r="W758">
        <v>15.3125</v>
      </c>
      <c r="X758">
        <v>125</v>
      </c>
      <c r="Y758">
        <v>0.83899999999999997</v>
      </c>
      <c r="Z758">
        <v>0</v>
      </c>
    </row>
    <row r="759" spans="1:26">
      <c r="M759" s="22" t="s">
        <v>68</v>
      </c>
      <c r="N759" s="13">
        <v>449</v>
      </c>
      <c r="O759" s="13">
        <v>124.937</v>
      </c>
      <c r="P759" s="13">
        <v>18.78</v>
      </c>
      <c r="Q759" s="13">
        <v>345.36099999999999</v>
      </c>
      <c r="R759" s="13">
        <v>4.2880000000000003</v>
      </c>
      <c r="S759" s="13">
        <v>63.902999999999999</v>
      </c>
      <c r="T759" s="13">
        <v>0</v>
      </c>
      <c r="U759" s="13">
        <v>2.5</v>
      </c>
      <c r="V759" s="13">
        <v>6</v>
      </c>
      <c r="W759" s="13">
        <v>15.3125</v>
      </c>
      <c r="X759" s="13">
        <v>125</v>
      </c>
      <c r="Y759" s="13">
        <v>0.83899999999999997</v>
      </c>
      <c r="Z759" s="13">
        <v>0</v>
      </c>
    </row>
    <row r="760" spans="1:26">
      <c r="M760" s="22" t="s">
        <v>69</v>
      </c>
      <c r="N760" s="14">
        <v>449</v>
      </c>
      <c r="O760" s="14">
        <v>194.51900000000001</v>
      </c>
      <c r="P760" s="14">
        <v>25.079000000000001</v>
      </c>
      <c r="Q760" s="14">
        <v>726.36</v>
      </c>
      <c r="R760" s="14">
        <v>5.3819999999999997</v>
      </c>
      <c r="S760" s="14">
        <v>85.337000000000003</v>
      </c>
      <c r="T760" s="14">
        <v>0</v>
      </c>
      <c r="U760" s="14">
        <v>6</v>
      </c>
      <c r="V760" s="14">
        <v>6</v>
      </c>
      <c r="W760" s="14">
        <v>15.375</v>
      </c>
      <c r="X760" s="14">
        <v>192</v>
      </c>
      <c r="Y760" s="14">
        <v>0.54300000000000004</v>
      </c>
      <c r="Z760" s="14">
        <v>0</v>
      </c>
    </row>
    <row r="763" spans="1:26" ht="12.75">
      <c r="A763" s="3"/>
      <c r="B763" s="15"/>
      <c r="C763" s="16"/>
      <c r="D763" s="16"/>
      <c r="E763" s="16"/>
      <c r="F763" s="16"/>
      <c r="G763" s="20"/>
      <c r="H763" s="4" t="s">
        <v>1</v>
      </c>
      <c r="J763" s="4" t="s">
        <v>2</v>
      </c>
      <c r="M763" s="4" t="s">
        <v>3</v>
      </c>
    </row>
    <row r="764" spans="1:26" ht="12.75">
      <c r="A764" s="1"/>
      <c r="B764" s="1"/>
      <c r="C764" s="1"/>
      <c r="D764" s="1"/>
      <c r="E764" s="1"/>
      <c r="F764" s="1"/>
      <c r="G764" s="1"/>
      <c r="J764" s="5">
        <f>2.85*10^8</f>
        <v>285000000</v>
      </c>
      <c r="K764" s="4" t="s">
        <v>4</v>
      </c>
      <c r="N764" s="4" t="s">
        <v>5</v>
      </c>
      <c r="O764" s="6" t="s">
        <v>6</v>
      </c>
      <c r="P764" s="6" t="s">
        <v>7</v>
      </c>
      <c r="Q764" s="6" t="s">
        <v>8</v>
      </c>
      <c r="R764" s="6" t="s">
        <v>9</v>
      </c>
      <c r="S764" s="6" t="s">
        <v>10</v>
      </c>
      <c r="T764" s="6" t="s">
        <v>11</v>
      </c>
      <c r="U764" s="6" t="s">
        <v>11</v>
      </c>
      <c r="V764" s="6" t="s">
        <v>11</v>
      </c>
      <c r="W764" s="6" t="s">
        <v>11</v>
      </c>
      <c r="X764" s="6" t="s">
        <v>12</v>
      </c>
      <c r="Y764" s="520" t="s">
        <v>13</v>
      </c>
      <c r="Z764" s="520"/>
    </row>
    <row r="765" spans="1:26" ht="12.75">
      <c r="A765" s="1"/>
      <c r="B765" s="1"/>
      <c r="C765" s="1"/>
      <c r="D765" s="1"/>
      <c r="E765" s="1"/>
      <c r="F765" s="1"/>
      <c r="G765" s="1"/>
      <c r="J765">
        <f>VLOOKUP(A766,M763:Z793,4,FALSE)</f>
        <v>16.48</v>
      </c>
      <c r="K765" s="4" t="s">
        <v>14</v>
      </c>
      <c r="M765" s="4" t="s">
        <v>15</v>
      </c>
      <c r="N765" s="4" t="s">
        <v>16</v>
      </c>
      <c r="O765" s="6" t="s">
        <v>17</v>
      </c>
      <c r="P765" s="6" t="s">
        <v>17</v>
      </c>
      <c r="Q765" s="6" t="s">
        <v>18</v>
      </c>
      <c r="R765" s="6" t="s">
        <v>19</v>
      </c>
      <c r="S765" s="6" t="s">
        <v>20</v>
      </c>
      <c r="T765" s="6" t="s">
        <v>21</v>
      </c>
      <c r="U765" s="6" t="s">
        <v>22</v>
      </c>
      <c r="V765" s="6" t="s">
        <v>23</v>
      </c>
      <c r="W765" s="6" t="s">
        <v>24</v>
      </c>
      <c r="Y765" s="6" t="s">
        <v>25</v>
      </c>
      <c r="Z765" s="4" t="s">
        <v>26</v>
      </c>
    </row>
    <row r="766" spans="1:26" ht="12.75">
      <c r="A766" s="11" t="s">
        <v>65</v>
      </c>
      <c r="B766" s="3" t="s">
        <v>28</v>
      </c>
      <c r="C766" s="7"/>
      <c r="D766" s="7"/>
      <c r="E766" s="7"/>
      <c r="F766" s="7"/>
      <c r="G766" s="3" t="s">
        <v>1</v>
      </c>
      <c r="J766">
        <f>(A769)</f>
        <v>0</v>
      </c>
      <c r="K766" s="4" t="s">
        <v>29</v>
      </c>
      <c r="M766" s="21" t="s">
        <v>30</v>
      </c>
      <c r="N766">
        <v>492</v>
      </c>
      <c r="O766">
        <v>11.781000000000001</v>
      </c>
      <c r="P766">
        <v>2.8980000000000001</v>
      </c>
      <c r="Q766">
        <v>4.766</v>
      </c>
      <c r="R766">
        <v>1.282</v>
      </c>
      <c r="S766">
        <v>9.8620000000000001</v>
      </c>
      <c r="T766">
        <v>0</v>
      </c>
      <c r="U766">
        <v>3</v>
      </c>
      <c r="V766">
        <v>6.75</v>
      </c>
      <c r="W766">
        <v>9.375</v>
      </c>
      <c r="X766">
        <v>22</v>
      </c>
      <c r="Y766">
        <v>10.47</v>
      </c>
      <c r="Z766">
        <v>0</v>
      </c>
    </row>
    <row r="767" spans="1:26" ht="12.75">
      <c r="A767" s="319">
        <f>'Estimating Form'!$D$18/12+R956</f>
        <v>1.3333333333333333</v>
      </c>
      <c r="B767" s="3" t="s">
        <v>31</v>
      </c>
      <c r="C767" s="7"/>
      <c r="D767" s="7"/>
      <c r="E767" s="7"/>
      <c r="F767" s="7"/>
      <c r="G767" s="7"/>
      <c r="J767">
        <f>VLOOKUP(A766,M763:Z794,7,FALSE)</f>
        <v>56.076999999999998</v>
      </c>
      <c r="K767" s="4" t="s">
        <v>32</v>
      </c>
      <c r="M767" s="22" t="s">
        <v>33</v>
      </c>
      <c r="N767" s="13">
        <v>492</v>
      </c>
      <c r="O767" s="13">
        <v>11.781000000000001</v>
      </c>
      <c r="P767" s="13">
        <v>5.94</v>
      </c>
      <c r="Q767" s="13">
        <v>8.33</v>
      </c>
      <c r="R767" s="13">
        <v>1.1839999999999999</v>
      </c>
      <c r="S767" s="13">
        <v>20.213999999999999</v>
      </c>
      <c r="T767" s="13">
        <v>0</v>
      </c>
      <c r="U767" s="13">
        <v>3</v>
      </c>
      <c r="V767" s="13">
        <v>6.75</v>
      </c>
      <c r="W767" s="13">
        <v>9.375</v>
      </c>
      <c r="X767" s="13">
        <v>22</v>
      </c>
      <c r="Y767" s="13">
        <v>10.47</v>
      </c>
      <c r="Z767" s="13">
        <v>0</v>
      </c>
    </row>
    <row r="768" spans="1:26" ht="12.75">
      <c r="A768" s="11">
        <v>0</v>
      </c>
      <c r="B768" s="3" t="s">
        <v>34</v>
      </c>
      <c r="C768" s="7"/>
      <c r="D768" s="7"/>
      <c r="E768" s="7"/>
      <c r="F768" s="7"/>
      <c r="G768" s="7"/>
      <c r="J768">
        <f>VLOOKUP(A766,M763:Z793,6,FALSE)</f>
        <v>3.573</v>
      </c>
      <c r="K768" s="4" t="s">
        <v>35</v>
      </c>
      <c r="M768" s="21" t="s">
        <v>36</v>
      </c>
      <c r="N768">
        <v>594</v>
      </c>
      <c r="O768">
        <v>14.93</v>
      </c>
      <c r="P768">
        <v>3.3490000000000002</v>
      </c>
      <c r="Q768">
        <v>7.0650000000000004</v>
      </c>
      <c r="R768">
        <v>1.452</v>
      </c>
      <c r="S768">
        <v>11.396000000000001</v>
      </c>
      <c r="T768">
        <v>9.3125</v>
      </c>
      <c r="U768">
        <v>3</v>
      </c>
      <c r="V768">
        <v>5.5</v>
      </c>
      <c r="W768">
        <v>8.8125</v>
      </c>
      <c r="X768">
        <v>29</v>
      </c>
      <c r="Y768">
        <v>9.52</v>
      </c>
      <c r="Z768">
        <v>16.670000000000002</v>
      </c>
    </row>
    <row r="769" spans="1:26" ht="12.75">
      <c r="A769" s="11">
        <f>'Estimating Form'!$G$22</f>
        <v>0</v>
      </c>
      <c r="B769" s="3" t="s">
        <v>37</v>
      </c>
      <c r="C769" s="7"/>
      <c r="D769" s="7"/>
      <c r="E769" s="7"/>
      <c r="F769" s="7"/>
      <c r="G769" s="7"/>
      <c r="J769">
        <f>(A767*12+A768)</f>
        <v>16</v>
      </c>
      <c r="K769" s="4" t="s">
        <v>38</v>
      </c>
      <c r="M769" s="21" t="s">
        <v>39</v>
      </c>
      <c r="N769">
        <v>594</v>
      </c>
      <c r="O769">
        <v>14.93</v>
      </c>
      <c r="P769">
        <v>5.5170000000000003</v>
      </c>
      <c r="Q769">
        <v>10.686999999999999</v>
      </c>
      <c r="R769">
        <v>1.3919999999999999</v>
      </c>
      <c r="S769">
        <v>18.771999999999998</v>
      </c>
      <c r="T769">
        <v>9.3125</v>
      </c>
      <c r="U769">
        <v>3</v>
      </c>
      <c r="V769">
        <v>5.5</v>
      </c>
      <c r="W769">
        <v>8.8125</v>
      </c>
      <c r="X769">
        <v>29</v>
      </c>
      <c r="Y769">
        <v>9.52</v>
      </c>
      <c r="Z769">
        <v>16.670000000000002</v>
      </c>
    </row>
    <row r="770" spans="1:26" ht="12.75">
      <c r="A770" s="11">
        <f>'Estimating Form'!$D$20</f>
        <v>0</v>
      </c>
      <c r="B770" s="3" t="s">
        <v>40</v>
      </c>
      <c r="C770" s="7"/>
      <c r="D770" s="7"/>
      <c r="E770" s="7"/>
      <c r="F770" s="7"/>
      <c r="G770" s="7"/>
      <c r="J770">
        <f>(A767+A768/12)</f>
        <v>1.3333333333333333</v>
      </c>
      <c r="K770" s="4" t="s">
        <v>41</v>
      </c>
      <c r="M770" s="22" t="s">
        <v>42</v>
      </c>
      <c r="N770" s="13">
        <v>594</v>
      </c>
      <c r="O770" s="13">
        <v>14.93</v>
      </c>
      <c r="P770" s="13">
        <v>7.1269999999999998</v>
      </c>
      <c r="Q770" s="13">
        <v>12.893000000000001</v>
      </c>
      <c r="R770" s="13">
        <v>1.345</v>
      </c>
      <c r="S770" s="13">
        <v>24.251999999999999</v>
      </c>
      <c r="T770" s="13">
        <v>9.3125</v>
      </c>
      <c r="U770" s="13">
        <v>3</v>
      </c>
      <c r="V770" s="13">
        <v>5.5</v>
      </c>
      <c r="W770" s="13">
        <v>8.8125</v>
      </c>
      <c r="X770" s="13">
        <v>29</v>
      </c>
      <c r="Y770" s="13">
        <v>9.52</v>
      </c>
      <c r="Z770" s="13">
        <v>16.670000000000002</v>
      </c>
    </row>
    <row r="771" spans="1:26" ht="12.75">
      <c r="A771" s="11">
        <v>0</v>
      </c>
      <c r="B771" s="3" t="s">
        <v>43</v>
      </c>
      <c r="C771" s="7"/>
      <c r="D771" s="7"/>
      <c r="E771" s="7"/>
      <c r="F771" s="7"/>
      <c r="G771" s="7"/>
      <c r="M771" s="21" t="s">
        <v>44</v>
      </c>
      <c r="N771">
        <v>630</v>
      </c>
      <c r="O771">
        <v>23.114999999999998</v>
      </c>
      <c r="P771">
        <v>4.8</v>
      </c>
      <c r="Q771">
        <v>15.824999999999999</v>
      </c>
      <c r="R771">
        <v>1.8160000000000001</v>
      </c>
      <c r="S771">
        <v>16.332999999999998</v>
      </c>
      <c r="T771">
        <v>9.75</v>
      </c>
      <c r="U771">
        <v>3</v>
      </c>
      <c r="V771">
        <v>5.5</v>
      </c>
      <c r="W771">
        <v>9.1875</v>
      </c>
      <c r="X771">
        <v>43</v>
      </c>
      <c r="Y771">
        <v>6.95</v>
      </c>
      <c r="Z771">
        <v>10.9</v>
      </c>
    </row>
    <row r="772" spans="1:26" ht="12.75">
      <c r="A772" s="7"/>
      <c r="B772" s="7"/>
      <c r="C772" s="7"/>
      <c r="D772" s="7"/>
      <c r="E772" s="7"/>
      <c r="F772" s="7"/>
      <c r="G772" s="7"/>
      <c r="J772">
        <f>(J764*J765/(J766+(J767*J770/2)))*(J768/J769)^2</f>
        <v>6265195.4198301006</v>
      </c>
      <c r="M772" s="21" t="s">
        <v>45</v>
      </c>
      <c r="N772">
        <v>630</v>
      </c>
      <c r="O772">
        <v>23.114999999999998</v>
      </c>
      <c r="P772">
        <v>6.59</v>
      </c>
      <c r="Q772">
        <v>20.786000000000001</v>
      </c>
      <c r="R772">
        <v>1.776</v>
      </c>
      <c r="S772">
        <v>22.422000000000001</v>
      </c>
      <c r="T772">
        <v>9.75</v>
      </c>
      <c r="U772">
        <v>3</v>
      </c>
      <c r="V772">
        <v>5.5</v>
      </c>
      <c r="W772">
        <v>9.1875</v>
      </c>
      <c r="X772">
        <v>43</v>
      </c>
      <c r="Y772">
        <v>6.95</v>
      </c>
      <c r="Z772">
        <v>10.9</v>
      </c>
    </row>
    <row r="773" spans="1:26" ht="12.75">
      <c r="A773" s="12">
        <f>(J772)</f>
        <v>6265195.4198301006</v>
      </c>
      <c r="B773" s="3" t="s">
        <v>46</v>
      </c>
      <c r="C773" s="7"/>
      <c r="D773" s="7"/>
      <c r="E773" s="7"/>
      <c r="F773" s="7"/>
      <c r="G773" s="7"/>
      <c r="M773" s="21" t="s">
        <v>47</v>
      </c>
      <c r="N773">
        <v>630</v>
      </c>
      <c r="O773">
        <v>23.114999999999998</v>
      </c>
      <c r="P773">
        <v>8.5050000000000008</v>
      </c>
      <c r="Q773">
        <v>25.532</v>
      </c>
      <c r="R773">
        <v>1.7330000000000001</v>
      </c>
      <c r="S773">
        <v>28.94</v>
      </c>
      <c r="T773">
        <v>9.75</v>
      </c>
      <c r="U773">
        <v>3</v>
      </c>
      <c r="V773">
        <v>5.5</v>
      </c>
      <c r="W773">
        <v>9.1875</v>
      </c>
      <c r="X773">
        <v>43</v>
      </c>
      <c r="Y773">
        <v>6.95</v>
      </c>
      <c r="Z773">
        <v>10.9</v>
      </c>
    </row>
    <row r="774" spans="1:26" ht="12.75">
      <c r="A774" s="12">
        <f>(J778)</f>
        <v>0</v>
      </c>
      <c r="B774" s="3" t="s">
        <v>48</v>
      </c>
      <c r="C774" s="7"/>
      <c r="D774" s="7"/>
      <c r="E774" s="7"/>
      <c r="F774" s="7"/>
      <c r="G774" s="7"/>
      <c r="J774" s="4" t="s">
        <v>49</v>
      </c>
      <c r="M774" s="22" t="s">
        <v>50</v>
      </c>
      <c r="N774" s="13">
        <v>234</v>
      </c>
      <c r="O774" s="13">
        <v>23.114999999999998</v>
      </c>
      <c r="P774" s="13">
        <v>10.148999999999999</v>
      </c>
      <c r="Q774" s="13">
        <v>29.140999999999998</v>
      </c>
      <c r="R774" s="13">
        <v>1.694</v>
      </c>
      <c r="S774" s="13">
        <v>34.436</v>
      </c>
      <c r="T774" s="13">
        <v>9.75</v>
      </c>
      <c r="U774" s="13">
        <v>3</v>
      </c>
      <c r="V774" s="13">
        <v>5.5</v>
      </c>
      <c r="W774" s="13">
        <v>9.1875</v>
      </c>
      <c r="X774" s="13">
        <v>43</v>
      </c>
      <c r="Y774" s="13">
        <v>6.95</v>
      </c>
      <c r="Z774" s="13">
        <v>10.9</v>
      </c>
    </row>
    <row r="775" spans="1:26" ht="12.75">
      <c r="A775" s="11">
        <f>'Estimating Form'!$D$18/12+R957</f>
        <v>1.9479166666666667</v>
      </c>
      <c r="B775" s="3" t="s">
        <v>957</v>
      </c>
      <c r="J775">
        <f>VLOOKUP(A766,M763:Z793,IF(A771=1,13,12)+1,FALSE)</f>
        <v>1.06</v>
      </c>
      <c r="K775" s="4" t="s">
        <v>51</v>
      </c>
      <c r="M775" s="21" t="s">
        <v>27</v>
      </c>
      <c r="N775">
        <v>630</v>
      </c>
      <c r="O775">
        <v>33.03</v>
      </c>
      <c r="P775">
        <v>5.9219999999999997</v>
      </c>
      <c r="Q775">
        <v>28.338999999999999</v>
      </c>
      <c r="R775">
        <v>2.1880000000000002</v>
      </c>
      <c r="S775">
        <v>20.149999999999999</v>
      </c>
      <c r="T775">
        <v>9.75</v>
      </c>
      <c r="U775">
        <v>3</v>
      </c>
      <c r="V775">
        <v>5.5</v>
      </c>
      <c r="W775">
        <v>9.1875</v>
      </c>
      <c r="X775">
        <v>43</v>
      </c>
      <c r="Y775">
        <v>3.41</v>
      </c>
      <c r="Z775">
        <v>5.34</v>
      </c>
    </row>
    <row r="776" spans="1:26">
      <c r="A776" s="8"/>
      <c r="B776" s="4"/>
      <c r="J776">
        <f>(A770)</f>
        <v>0</v>
      </c>
      <c r="K776" s="4" t="s">
        <v>52</v>
      </c>
      <c r="M776" s="21" t="s">
        <v>53</v>
      </c>
      <c r="N776">
        <v>630</v>
      </c>
      <c r="O776">
        <v>33.03</v>
      </c>
      <c r="P776">
        <v>9.2799999999999994</v>
      </c>
      <c r="Q776">
        <v>41.933</v>
      </c>
      <c r="R776">
        <v>2.1259999999999999</v>
      </c>
      <c r="S776">
        <v>31.579000000000001</v>
      </c>
      <c r="T776">
        <v>9.75</v>
      </c>
      <c r="U776">
        <v>3</v>
      </c>
      <c r="V776">
        <v>5.5</v>
      </c>
      <c r="W776">
        <v>9.1875</v>
      </c>
      <c r="X776">
        <v>43</v>
      </c>
      <c r="Y776">
        <v>3.41</v>
      </c>
      <c r="Z776">
        <v>5.34</v>
      </c>
    </row>
    <row r="777" spans="1:26">
      <c r="A777" s="8"/>
      <c r="B777" s="9"/>
      <c r="M777" s="21" t="s">
        <v>54</v>
      </c>
      <c r="N777">
        <v>630</v>
      </c>
      <c r="O777">
        <v>33.03</v>
      </c>
      <c r="P777">
        <v>11.898999999999999</v>
      </c>
      <c r="Q777">
        <v>51.284999999999997</v>
      </c>
      <c r="R777">
        <v>2.0760000000000001</v>
      </c>
      <c r="S777">
        <v>40.488999999999997</v>
      </c>
      <c r="T777">
        <v>9.75</v>
      </c>
      <c r="U777">
        <v>3</v>
      </c>
      <c r="V777">
        <v>5.5</v>
      </c>
      <c r="W777">
        <v>9.1875</v>
      </c>
      <c r="X777">
        <v>43</v>
      </c>
      <c r="Y777">
        <v>3.41</v>
      </c>
      <c r="Z777">
        <v>5.34</v>
      </c>
    </row>
    <row r="778" spans="1:26">
      <c r="A778" s="8"/>
      <c r="B778" s="9"/>
      <c r="J778">
        <f>(J775*(J770+4)*J776*10^-6)</f>
        <v>0</v>
      </c>
      <c r="M778" s="22" t="s">
        <v>55</v>
      </c>
      <c r="N778" s="13">
        <v>630</v>
      </c>
      <c r="O778" s="13">
        <v>33.03</v>
      </c>
      <c r="P778" s="13">
        <v>14.196</v>
      </c>
      <c r="Q778" s="13">
        <v>58.588999999999999</v>
      </c>
      <c r="R778" s="13">
        <v>2.032</v>
      </c>
      <c r="S778" s="13">
        <v>48.304000000000002</v>
      </c>
      <c r="T778" s="13">
        <v>9.75</v>
      </c>
      <c r="U778" s="13">
        <v>3</v>
      </c>
      <c r="V778" s="13">
        <v>5.5</v>
      </c>
      <c r="W778" s="13">
        <v>9.1875</v>
      </c>
      <c r="X778" s="13">
        <v>43</v>
      </c>
      <c r="Y778" s="13">
        <v>3.41</v>
      </c>
      <c r="Z778" s="13">
        <v>5.34</v>
      </c>
    </row>
    <row r="779" spans="1:26">
      <c r="A779" s="8"/>
      <c r="M779" s="21" t="s">
        <v>56</v>
      </c>
      <c r="N779">
        <v>630</v>
      </c>
      <c r="O779">
        <v>44.031999999999996</v>
      </c>
      <c r="P779">
        <v>8.109</v>
      </c>
      <c r="Q779">
        <v>51.593000000000004</v>
      </c>
      <c r="R779">
        <v>2.5219999999999998</v>
      </c>
      <c r="S779">
        <v>27.591999999999999</v>
      </c>
      <c r="T779">
        <v>10.9375</v>
      </c>
      <c r="U779">
        <v>2.5</v>
      </c>
      <c r="V779">
        <v>6</v>
      </c>
      <c r="W779">
        <v>9.9375</v>
      </c>
      <c r="X779">
        <v>61</v>
      </c>
      <c r="Y779">
        <v>3</v>
      </c>
      <c r="Z779">
        <v>4.29</v>
      </c>
    </row>
    <row r="780" spans="1:26">
      <c r="A780" s="8"/>
      <c r="B780" s="9"/>
      <c r="M780" s="21" t="s">
        <v>57</v>
      </c>
      <c r="N780">
        <v>630</v>
      </c>
      <c r="O780">
        <v>44.031999999999996</v>
      </c>
      <c r="P780">
        <v>9.4350000000000005</v>
      </c>
      <c r="Q780">
        <v>59.033999999999999</v>
      </c>
      <c r="R780">
        <v>2.5009999999999999</v>
      </c>
      <c r="S780">
        <v>32.103999999999999</v>
      </c>
      <c r="T780">
        <v>10.9375</v>
      </c>
      <c r="U780">
        <v>2.5</v>
      </c>
      <c r="V780">
        <v>6</v>
      </c>
      <c r="W780">
        <v>9.9375</v>
      </c>
      <c r="X780">
        <v>61</v>
      </c>
      <c r="Y780">
        <v>3</v>
      </c>
      <c r="Z780">
        <v>4.29</v>
      </c>
    </row>
    <row r="781" spans="1:26" ht="15.75">
      <c r="A781" s="37"/>
      <c r="B781" s="97"/>
      <c r="C781" s="515" t="s">
        <v>93</v>
      </c>
      <c r="D781" s="515"/>
      <c r="E781" s="40">
        <f>(B782-A770)/(O789)-(0.39*A767)</f>
        <v>-7.4861315230171033E-2</v>
      </c>
      <c r="M781" s="23" t="s">
        <v>59</v>
      </c>
      <c r="N781">
        <v>630</v>
      </c>
      <c r="O781">
        <v>44.031999999999996</v>
      </c>
      <c r="P781">
        <v>14.49</v>
      </c>
      <c r="Q781">
        <v>84.834000000000003</v>
      </c>
      <c r="R781">
        <v>2.42</v>
      </c>
      <c r="S781">
        <v>49.305</v>
      </c>
      <c r="T781">
        <v>10.9375</v>
      </c>
      <c r="U781">
        <v>2.5</v>
      </c>
      <c r="V781">
        <v>6</v>
      </c>
      <c r="W781">
        <v>9.9375</v>
      </c>
      <c r="X781">
        <v>61</v>
      </c>
      <c r="Y781">
        <v>3</v>
      </c>
      <c r="Z781">
        <v>4.29</v>
      </c>
    </row>
    <row r="782" spans="1:26" ht="15.75">
      <c r="A782" s="37" t="s">
        <v>98</v>
      </c>
      <c r="B782" s="41">
        <f>A769+B786</f>
        <v>39.375187499999996</v>
      </c>
      <c r="C782" s="516" t="s">
        <v>99</v>
      </c>
      <c r="D782" s="516"/>
      <c r="E782" s="42">
        <f>((B782/(O789))*1.1)</f>
        <v>0.48965255324681195</v>
      </c>
      <c r="M782" s="24" t="s">
        <v>58</v>
      </c>
      <c r="N782" s="13">
        <v>630</v>
      </c>
      <c r="O782" s="13">
        <v>44.031999999999996</v>
      </c>
      <c r="P782" s="13">
        <v>19.181000000000001</v>
      </c>
      <c r="Q782" s="13">
        <v>105.14</v>
      </c>
      <c r="R782" s="13">
        <v>2.3410000000000002</v>
      </c>
      <c r="S782" s="13">
        <v>65.268000000000001</v>
      </c>
      <c r="T782" s="13">
        <v>10.9375</v>
      </c>
      <c r="U782" s="13">
        <v>2.5</v>
      </c>
      <c r="V782" s="13">
        <v>6</v>
      </c>
      <c r="W782" s="13">
        <v>9.9375</v>
      </c>
      <c r="X782" s="13">
        <v>61</v>
      </c>
      <c r="Y782" s="13">
        <v>3</v>
      </c>
      <c r="Z782" s="13">
        <v>4.29</v>
      </c>
    </row>
    <row r="783" spans="1:26" ht="15">
      <c r="A783" s="37"/>
      <c r="B783" s="38"/>
      <c r="C783" s="517" t="s">
        <v>106</v>
      </c>
      <c r="D783" s="514" t="str">
        <f>IF(E781&gt;90,"Good!","Too Low, increase GLOPU or decrease jack diameter, if above 50 use ASK ENGINEERING")</f>
        <v>Too Low, increase GLOPU or decrease jack diameter, if above 50 use ASK ENGINEERING</v>
      </c>
      <c r="E783" s="514"/>
      <c r="F783" s="10"/>
      <c r="M783" s="21" t="s">
        <v>60</v>
      </c>
      <c r="N783">
        <v>630</v>
      </c>
      <c r="O783">
        <v>56.578000000000003</v>
      </c>
      <c r="P783">
        <v>9.2829999999999995</v>
      </c>
      <c r="Q783">
        <v>76.736999999999995</v>
      </c>
      <c r="R783">
        <v>2.875</v>
      </c>
      <c r="S783">
        <v>31.588999999999999</v>
      </c>
      <c r="T783">
        <v>10.9375</v>
      </c>
      <c r="U783">
        <v>2.5</v>
      </c>
      <c r="V783">
        <v>6</v>
      </c>
      <c r="W783">
        <v>9.9375</v>
      </c>
      <c r="X783">
        <v>61</v>
      </c>
      <c r="Y783">
        <v>1.82</v>
      </c>
      <c r="Z783">
        <v>2.6</v>
      </c>
    </row>
    <row r="784" spans="1:26" ht="15.75" thickBot="1">
      <c r="A784" s="37"/>
      <c r="B784" s="44"/>
      <c r="C784" s="518"/>
      <c r="D784" s="519"/>
      <c r="E784" s="519"/>
      <c r="M784" s="21" t="s">
        <v>61</v>
      </c>
      <c r="N784">
        <v>630</v>
      </c>
      <c r="O784">
        <v>56.578000000000003</v>
      </c>
      <c r="P784">
        <v>10.734999999999999</v>
      </c>
      <c r="Q784">
        <v>87.494</v>
      </c>
      <c r="R784">
        <v>2.855</v>
      </c>
      <c r="S784">
        <v>36.527999999999999</v>
      </c>
      <c r="T784">
        <v>10.9375</v>
      </c>
      <c r="U784">
        <v>2.5</v>
      </c>
      <c r="V784">
        <v>6</v>
      </c>
      <c r="W784">
        <v>9.9375</v>
      </c>
      <c r="X784">
        <v>61</v>
      </c>
      <c r="Y784">
        <v>1.82</v>
      </c>
      <c r="Z784">
        <v>2.6</v>
      </c>
    </row>
    <row r="785" spans="1:26" ht="15">
      <c r="A785" s="37"/>
      <c r="B785" s="39"/>
      <c r="C785" s="512" t="s">
        <v>118</v>
      </c>
      <c r="D785" s="514" t="str">
        <f>IF(AND(OR('Estimating Form'!$G$46="Yes",'Estimating Form'!$G$46="Required")*E782&gt;400),"Too High, reduce GLOPU or increase plunger diameter",IF(E782&gt;490,"Too High, reduce GLOPU or increase plunger diameter","Good!"))</f>
        <v>Good!</v>
      </c>
      <c r="E785" s="514"/>
      <c r="M785" s="24" t="s">
        <v>70</v>
      </c>
      <c r="N785" s="13">
        <v>630</v>
      </c>
      <c r="O785" s="13">
        <v>56.578000000000003</v>
      </c>
      <c r="P785" s="13">
        <v>15.885999999999999</v>
      </c>
      <c r="Q785" s="13">
        <v>122.965</v>
      </c>
      <c r="R785" s="13">
        <v>2.782</v>
      </c>
      <c r="S785" s="13">
        <v>54.055</v>
      </c>
      <c r="T785" s="13">
        <v>10.9375</v>
      </c>
      <c r="U785" s="13">
        <v>2.5</v>
      </c>
      <c r="V785" s="13">
        <v>6</v>
      </c>
      <c r="W785" s="13">
        <v>9.9375</v>
      </c>
      <c r="X785" s="13">
        <v>61</v>
      </c>
      <c r="Y785" s="13">
        <v>1.82</v>
      </c>
      <c r="Z785" s="13">
        <v>2.6</v>
      </c>
    </row>
    <row r="786" spans="1:26" ht="15">
      <c r="A786" s="46" t="s">
        <v>122</v>
      </c>
      <c r="B786" s="96">
        <f>S767*A775</f>
        <v>39.375187499999996</v>
      </c>
      <c r="C786" s="513"/>
      <c r="D786" s="514"/>
      <c r="E786" s="514"/>
      <c r="M786" s="21" t="s">
        <v>62</v>
      </c>
      <c r="N786">
        <v>537</v>
      </c>
      <c r="O786">
        <v>70.695999999999998</v>
      </c>
      <c r="P786">
        <v>12.27</v>
      </c>
      <c r="Q786">
        <v>126.072</v>
      </c>
      <c r="R786">
        <v>3.2050000000000001</v>
      </c>
      <c r="S786">
        <v>41.75</v>
      </c>
      <c r="T786">
        <v>14.375</v>
      </c>
      <c r="U786">
        <v>2.5</v>
      </c>
      <c r="V786">
        <v>6</v>
      </c>
      <c r="W786">
        <v>12.9375</v>
      </c>
      <c r="X786">
        <v>80</v>
      </c>
      <c r="Y786">
        <v>1.66</v>
      </c>
      <c r="Z786">
        <v>2.62</v>
      </c>
    </row>
    <row r="787" spans="1:26">
      <c r="E787" s="10"/>
      <c r="F787" s="10"/>
      <c r="M787" s="22" t="s">
        <v>63</v>
      </c>
      <c r="N787" s="13">
        <v>537</v>
      </c>
      <c r="O787" s="13">
        <v>70.695999999999998</v>
      </c>
      <c r="P787" s="13">
        <v>18.847000000000001</v>
      </c>
      <c r="Q787" s="13">
        <v>183.79400000000001</v>
      </c>
      <c r="R787" s="13">
        <v>3.1230000000000002</v>
      </c>
      <c r="S787" s="13">
        <v>64.132000000000005</v>
      </c>
      <c r="T787" s="13">
        <v>14.375</v>
      </c>
      <c r="U787" s="13">
        <v>2.5</v>
      </c>
      <c r="V787" s="13">
        <v>6</v>
      </c>
      <c r="W787" s="13">
        <v>12.9375</v>
      </c>
      <c r="X787" s="13">
        <v>80</v>
      </c>
      <c r="Y787" s="13">
        <v>1.66</v>
      </c>
      <c r="Z787" s="13">
        <v>2.62</v>
      </c>
    </row>
    <row r="788" spans="1:26">
      <c r="A788" s="8"/>
      <c r="B788" s="9"/>
      <c r="M788" s="21" t="s">
        <v>64</v>
      </c>
      <c r="N788">
        <v>537</v>
      </c>
      <c r="O788">
        <v>88.456000000000003</v>
      </c>
      <c r="P788">
        <v>13.656000000000001</v>
      </c>
      <c r="Q788">
        <v>177.40799999999999</v>
      </c>
      <c r="R788">
        <v>3.6040000000000001</v>
      </c>
      <c r="S788">
        <v>46.466999999999999</v>
      </c>
      <c r="T788">
        <v>14.375</v>
      </c>
      <c r="U788">
        <v>2.5</v>
      </c>
      <c r="V788">
        <v>6</v>
      </c>
      <c r="W788">
        <v>13.3125</v>
      </c>
      <c r="X788">
        <v>80</v>
      </c>
      <c r="Y788">
        <v>1.06</v>
      </c>
      <c r="Z788">
        <v>1.67</v>
      </c>
    </row>
    <row r="789" spans="1:26">
      <c r="B789" s="9"/>
      <c r="M789" s="21" t="s">
        <v>65</v>
      </c>
      <c r="N789">
        <v>537</v>
      </c>
      <c r="O789">
        <v>88.456000000000003</v>
      </c>
      <c r="P789">
        <v>16.48</v>
      </c>
      <c r="Q789">
        <v>210.39400000000001</v>
      </c>
      <c r="R789">
        <v>3.573</v>
      </c>
      <c r="S789">
        <v>56.076999999999998</v>
      </c>
      <c r="T789">
        <v>14.375</v>
      </c>
      <c r="U789">
        <v>2.5</v>
      </c>
      <c r="V789">
        <v>6</v>
      </c>
      <c r="W789">
        <v>13.3125</v>
      </c>
      <c r="X789">
        <v>80</v>
      </c>
      <c r="Y789">
        <v>1.06</v>
      </c>
      <c r="Z789">
        <v>1.67</v>
      </c>
    </row>
    <row r="790" spans="1:26">
      <c r="B790" s="9"/>
      <c r="M790" s="22" t="s">
        <v>66</v>
      </c>
      <c r="N790" s="13">
        <v>537</v>
      </c>
      <c r="O790" s="13">
        <v>88.456000000000003</v>
      </c>
      <c r="P790" s="13">
        <v>20.350999999999999</v>
      </c>
      <c r="Q790" s="13">
        <v>253.547</v>
      </c>
      <c r="R790" s="13">
        <v>3.53</v>
      </c>
      <c r="S790" s="13">
        <v>69.248999999999995</v>
      </c>
      <c r="T790" s="13">
        <v>14.375</v>
      </c>
      <c r="U790" s="13">
        <v>2.5</v>
      </c>
      <c r="V790" s="13">
        <v>6</v>
      </c>
      <c r="W790" s="13">
        <v>13.3125</v>
      </c>
      <c r="X790" s="13">
        <v>80</v>
      </c>
      <c r="Y790" s="13">
        <v>1.06</v>
      </c>
      <c r="Z790" s="13">
        <v>1.67</v>
      </c>
    </row>
    <row r="791" spans="1:26">
      <c r="M791" s="21" t="s">
        <v>67</v>
      </c>
      <c r="N791">
        <v>449</v>
      </c>
      <c r="O791">
        <v>124.937</v>
      </c>
      <c r="P791">
        <v>16.503</v>
      </c>
      <c r="Q791">
        <v>306.48500000000001</v>
      </c>
      <c r="R791">
        <v>4.3090000000000002</v>
      </c>
      <c r="S791">
        <v>56.155999999999999</v>
      </c>
      <c r="T791">
        <v>0</v>
      </c>
      <c r="U791">
        <v>2.5</v>
      </c>
      <c r="V791">
        <v>6</v>
      </c>
      <c r="W791">
        <v>15.3125</v>
      </c>
      <c r="X791">
        <v>125</v>
      </c>
      <c r="Y791">
        <v>0.83899999999999997</v>
      </c>
      <c r="Z791">
        <v>0</v>
      </c>
    </row>
    <row r="792" spans="1:26">
      <c r="M792" s="22" t="s">
        <v>68</v>
      </c>
      <c r="N792" s="13">
        <v>449</v>
      </c>
      <c r="O792" s="13">
        <v>124.937</v>
      </c>
      <c r="P792" s="13">
        <v>18.78</v>
      </c>
      <c r="Q792" s="13">
        <v>345.36099999999999</v>
      </c>
      <c r="R792" s="13">
        <v>4.2880000000000003</v>
      </c>
      <c r="S792" s="13">
        <v>63.902999999999999</v>
      </c>
      <c r="T792" s="13">
        <v>0</v>
      </c>
      <c r="U792" s="13">
        <v>2.5</v>
      </c>
      <c r="V792" s="13">
        <v>6</v>
      </c>
      <c r="W792" s="13">
        <v>15.3125</v>
      </c>
      <c r="X792" s="13">
        <v>125</v>
      </c>
      <c r="Y792" s="13">
        <v>0.83899999999999997</v>
      </c>
      <c r="Z792" s="13">
        <v>0</v>
      </c>
    </row>
    <row r="793" spans="1:26">
      <c r="M793" s="22" t="s">
        <v>69</v>
      </c>
      <c r="N793" s="14">
        <v>449</v>
      </c>
      <c r="O793" s="14">
        <v>194.51900000000001</v>
      </c>
      <c r="P793" s="14">
        <v>25.079000000000001</v>
      </c>
      <c r="Q793" s="14">
        <v>726.36</v>
      </c>
      <c r="R793" s="14">
        <v>5.3819999999999997</v>
      </c>
      <c r="S793" s="14">
        <v>85.337000000000003</v>
      </c>
      <c r="T793" s="14">
        <v>0</v>
      </c>
      <c r="U793" s="14">
        <v>6</v>
      </c>
      <c r="V793" s="14">
        <v>6</v>
      </c>
      <c r="W793" s="14">
        <v>15.375</v>
      </c>
      <c r="X793" s="14">
        <v>192</v>
      </c>
      <c r="Y793" s="14">
        <v>0.54300000000000004</v>
      </c>
      <c r="Z793" s="14">
        <v>0</v>
      </c>
    </row>
    <row r="796" spans="1:26" ht="12.75">
      <c r="A796" s="3"/>
      <c r="B796" s="15"/>
      <c r="C796" s="16"/>
      <c r="D796" s="16"/>
      <c r="E796" s="16"/>
      <c r="F796" s="16"/>
      <c r="G796" s="20"/>
      <c r="H796" s="4" t="s">
        <v>1</v>
      </c>
      <c r="J796" s="4" t="s">
        <v>2</v>
      </c>
      <c r="M796" s="4" t="s">
        <v>3</v>
      </c>
    </row>
    <row r="797" spans="1:26" ht="12.75">
      <c r="A797" s="1"/>
      <c r="B797" s="1"/>
      <c r="C797" s="1"/>
      <c r="D797" s="1"/>
      <c r="E797" s="1"/>
      <c r="F797" s="1"/>
      <c r="G797" s="1"/>
      <c r="J797" s="5">
        <f>2.85*10^8</f>
        <v>285000000</v>
      </c>
      <c r="K797" s="4" t="s">
        <v>4</v>
      </c>
      <c r="N797" s="4" t="s">
        <v>5</v>
      </c>
      <c r="O797" s="6" t="s">
        <v>6</v>
      </c>
      <c r="P797" s="6" t="s">
        <v>7</v>
      </c>
      <c r="Q797" s="6" t="s">
        <v>8</v>
      </c>
      <c r="R797" s="6" t="s">
        <v>9</v>
      </c>
      <c r="S797" s="6" t="s">
        <v>10</v>
      </c>
      <c r="T797" s="6" t="s">
        <v>11</v>
      </c>
      <c r="U797" s="6" t="s">
        <v>11</v>
      </c>
      <c r="V797" s="6" t="s">
        <v>11</v>
      </c>
      <c r="W797" s="6" t="s">
        <v>11</v>
      </c>
      <c r="X797" s="6" t="s">
        <v>12</v>
      </c>
      <c r="Y797" s="520" t="s">
        <v>13</v>
      </c>
      <c r="Z797" s="520"/>
    </row>
    <row r="798" spans="1:26" ht="12.75">
      <c r="A798" s="1"/>
      <c r="B798" s="1"/>
      <c r="C798" s="1"/>
      <c r="D798" s="1"/>
      <c r="E798" s="1"/>
      <c r="F798" s="1"/>
      <c r="G798" s="1"/>
      <c r="J798">
        <f>VLOOKUP(A799,M796:Z826,4,FALSE)</f>
        <v>20.350999999999999</v>
      </c>
      <c r="K798" s="4" t="s">
        <v>14</v>
      </c>
      <c r="M798" s="4" t="s">
        <v>15</v>
      </c>
      <c r="N798" s="4" t="s">
        <v>16</v>
      </c>
      <c r="O798" s="6" t="s">
        <v>17</v>
      </c>
      <c r="P798" s="6" t="s">
        <v>17</v>
      </c>
      <c r="Q798" s="6" t="s">
        <v>18</v>
      </c>
      <c r="R798" s="6" t="s">
        <v>19</v>
      </c>
      <c r="S798" s="6" t="s">
        <v>20</v>
      </c>
      <c r="T798" s="6" t="s">
        <v>21</v>
      </c>
      <c r="U798" s="6" t="s">
        <v>22</v>
      </c>
      <c r="V798" s="6" t="s">
        <v>23</v>
      </c>
      <c r="W798" s="6" t="s">
        <v>24</v>
      </c>
      <c r="Y798" s="6" t="s">
        <v>25</v>
      </c>
      <c r="Z798" s="4" t="s">
        <v>26</v>
      </c>
    </row>
    <row r="799" spans="1:26" ht="12.75">
      <c r="A799" s="11" t="s">
        <v>66</v>
      </c>
      <c r="B799" s="3" t="s">
        <v>28</v>
      </c>
      <c r="C799" s="7"/>
      <c r="D799" s="7"/>
      <c r="E799" s="7"/>
      <c r="F799" s="7"/>
      <c r="G799" s="3" t="s">
        <v>1</v>
      </c>
      <c r="J799">
        <f>(A802)</f>
        <v>0</v>
      </c>
      <c r="K799" s="4" t="s">
        <v>29</v>
      </c>
      <c r="M799" s="21" t="s">
        <v>30</v>
      </c>
      <c r="N799">
        <v>492</v>
      </c>
      <c r="O799">
        <v>11.781000000000001</v>
      </c>
      <c r="P799">
        <v>2.8980000000000001</v>
      </c>
      <c r="Q799">
        <v>4.766</v>
      </c>
      <c r="R799">
        <v>1.282</v>
      </c>
      <c r="S799">
        <v>9.8620000000000001</v>
      </c>
      <c r="T799">
        <v>0</v>
      </c>
      <c r="U799">
        <v>3</v>
      </c>
      <c r="V799">
        <v>6.75</v>
      </c>
      <c r="W799">
        <v>9.375</v>
      </c>
      <c r="X799">
        <v>22</v>
      </c>
      <c r="Y799">
        <v>10.47</v>
      </c>
      <c r="Z799">
        <v>0</v>
      </c>
    </row>
    <row r="800" spans="1:26" ht="12.75">
      <c r="A800" s="319">
        <f>'Estimating Form'!$D$18/12+R956</f>
        <v>1.3333333333333333</v>
      </c>
      <c r="B800" s="3" t="s">
        <v>31</v>
      </c>
      <c r="C800" s="7"/>
      <c r="D800" s="7"/>
      <c r="E800" s="7"/>
      <c r="F800" s="7"/>
      <c r="G800" s="7"/>
      <c r="J800">
        <f>VLOOKUP(A799,M796:Z827,7,FALSE)</f>
        <v>69.248999999999995</v>
      </c>
      <c r="K800" s="4" t="s">
        <v>32</v>
      </c>
      <c r="M800" s="22" t="s">
        <v>33</v>
      </c>
      <c r="N800" s="13">
        <v>492</v>
      </c>
      <c r="O800" s="13">
        <v>11.781000000000001</v>
      </c>
      <c r="P800" s="13">
        <v>5.94</v>
      </c>
      <c r="Q800" s="13">
        <v>8.33</v>
      </c>
      <c r="R800" s="13">
        <v>1.1839999999999999</v>
      </c>
      <c r="S800" s="13">
        <v>20.213999999999999</v>
      </c>
      <c r="T800" s="13">
        <v>0</v>
      </c>
      <c r="U800" s="13">
        <v>3</v>
      </c>
      <c r="V800" s="13">
        <v>6.75</v>
      </c>
      <c r="W800" s="13">
        <v>9.375</v>
      </c>
      <c r="X800" s="13">
        <v>22</v>
      </c>
      <c r="Y800" s="13">
        <v>10.47</v>
      </c>
      <c r="Z800" s="13">
        <v>0</v>
      </c>
    </row>
    <row r="801" spans="1:26" ht="12.75">
      <c r="A801" s="11">
        <v>0</v>
      </c>
      <c r="B801" s="3" t="s">
        <v>34</v>
      </c>
      <c r="C801" s="7"/>
      <c r="D801" s="7"/>
      <c r="E801" s="7"/>
      <c r="F801" s="7"/>
      <c r="G801" s="7"/>
      <c r="J801">
        <f>VLOOKUP(A799,M796:Z826,6,FALSE)</f>
        <v>3.53</v>
      </c>
      <c r="K801" s="4" t="s">
        <v>35</v>
      </c>
      <c r="M801" s="21" t="s">
        <v>36</v>
      </c>
      <c r="N801">
        <v>594</v>
      </c>
      <c r="O801">
        <v>14.93</v>
      </c>
      <c r="P801">
        <v>3.3490000000000002</v>
      </c>
      <c r="Q801">
        <v>7.0650000000000004</v>
      </c>
      <c r="R801">
        <v>1.452</v>
      </c>
      <c r="S801">
        <v>11.396000000000001</v>
      </c>
      <c r="T801">
        <v>9.3125</v>
      </c>
      <c r="U801">
        <v>3</v>
      </c>
      <c r="V801">
        <v>5.5</v>
      </c>
      <c r="W801">
        <v>8.8125</v>
      </c>
      <c r="X801">
        <v>29</v>
      </c>
      <c r="Y801">
        <v>9.52</v>
      </c>
      <c r="Z801">
        <v>16.670000000000002</v>
      </c>
    </row>
    <row r="802" spans="1:26" ht="12.75">
      <c r="A802" s="11">
        <f>'Estimating Form'!$G$22</f>
        <v>0</v>
      </c>
      <c r="B802" s="3" t="s">
        <v>37</v>
      </c>
      <c r="C802" s="7"/>
      <c r="D802" s="7"/>
      <c r="E802" s="7"/>
      <c r="F802" s="7"/>
      <c r="G802" s="7"/>
      <c r="J802">
        <f>(A800*12+A801)</f>
        <v>16</v>
      </c>
      <c r="K802" s="4" t="s">
        <v>38</v>
      </c>
      <c r="M802" s="21" t="s">
        <v>39</v>
      </c>
      <c r="N802">
        <v>594</v>
      </c>
      <c r="O802">
        <v>14.93</v>
      </c>
      <c r="P802">
        <v>5.5170000000000003</v>
      </c>
      <c r="Q802">
        <v>10.686999999999999</v>
      </c>
      <c r="R802">
        <v>1.3919999999999999</v>
      </c>
      <c r="S802">
        <v>18.771999999999998</v>
      </c>
      <c r="T802">
        <v>9.3125</v>
      </c>
      <c r="U802">
        <v>3</v>
      </c>
      <c r="V802">
        <v>5.5</v>
      </c>
      <c r="W802">
        <v>8.8125</v>
      </c>
      <c r="X802">
        <v>29</v>
      </c>
      <c r="Y802">
        <v>9.52</v>
      </c>
      <c r="Z802">
        <v>16.670000000000002</v>
      </c>
    </row>
    <row r="803" spans="1:26" ht="12.75">
      <c r="A803" s="11">
        <f>'Estimating Form'!$D$20</f>
        <v>0</v>
      </c>
      <c r="B803" s="3" t="s">
        <v>40</v>
      </c>
      <c r="C803" s="7"/>
      <c r="D803" s="7"/>
      <c r="E803" s="7"/>
      <c r="F803" s="7"/>
      <c r="G803" s="7"/>
      <c r="J803">
        <f>(A800+A801/12)</f>
        <v>1.3333333333333333</v>
      </c>
      <c r="K803" s="4" t="s">
        <v>41</v>
      </c>
      <c r="M803" s="22" t="s">
        <v>42</v>
      </c>
      <c r="N803" s="13">
        <v>594</v>
      </c>
      <c r="O803" s="13">
        <v>14.93</v>
      </c>
      <c r="P803" s="13">
        <v>7.1269999999999998</v>
      </c>
      <c r="Q803" s="13">
        <v>12.893000000000001</v>
      </c>
      <c r="R803" s="13">
        <v>1.345</v>
      </c>
      <c r="S803" s="13">
        <v>24.251999999999999</v>
      </c>
      <c r="T803" s="13">
        <v>9.3125</v>
      </c>
      <c r="U803" s="13">
        <v>3</v>
      </c>
      <c r="V803" s="13">
        <v>5.5</v>
      </c>
      <c r="W803" s="13">
        <v>8.8125</v>
      </c>
      <c r="X803" s="13">
        <v>29</v>
      </c>
      <c r="Y803" s="13">
        <v>9.52</v>
      </c>
      <c r="Z803" s="13">
        <v>16.670000000000002</v>
      </c>
    </row>
    <row r="804" spans="1:26" ht="12.75">
      <c r="A804" s="11">
        <v>0</v>
      </c>
      <c r="B804" s="3" t="s">
        <v>43</v>
      </c>
      <c r="C804" s="7"/>
      <c r="D804" s="7"/>
      <c r="E804" s="7"/>
      <c r="F804" s="7"/>
      <c r="G804" s="7"/>
      <c r="M804" s="21" t="s">
        <v>44</v>
      </c>
      <c r="N804">
        <v>630</v>
      </c>
      <c r="O804">
        <v>23.114999999999998</v>
      </c>
      <c r="P804">
        <v>4.8</v>
      </c>
      <c r="Q804">
        <v>15.824999999999999</v>
      </c>
      <c r="R804">
        <v>1.8160000000000001</v>
      </c>
      <c r="S804">
        <v>16.332999999999998</v>
      </c>
      <c r="T804">
        <v>9.75</v>
      </c>
      <c r="U804">
        <v>3</v>
      </c>
      <c r="V804">
        <v>5.5</v>
      </c>
      <c r="W804">
        <v>9.1875</v>
      </c>
      <c r="X804">
        <v>43</v>
      </c>
      <c r="Y804">
        <v>6.95</v>
      </c>
      <c r="Z804">
        <v>10.9</v>
      </c>
    </row>
    <row r="805" spans="1:26" ht="12.75">
      <c r="A805" s="7"/>
      <c r="B805" s="7"/>
      <c r="C805" s="7"/>
      <c r="D805" s="7"/>
      <c r="E805" s="7"/>
      <c r="F805" s="7"/>
      <c r="G805" s="7"/>
      <c r="J805">
        <f>(J797*J798/(J799+(J800*J803/2)))*(J801/J802)^2</f>
        <v>6115300.6382114943</v>
      </c>
      <c r="M805" s="21" t="s">
        <v>45</v>
      </c>
      <c r="N805">
        <v>630</v>
      </c>
      <c r="O805">
        <v>23.114999999999998</v>
      </c>
      <c r="P805">
        <v>6.59</v>
      </c>
      <c r="Q805">
        <v>20.786000000000001</v>
      </c>
      <c r="R805">
        <v>1.776</v>
      </c>
      <c r="S805">
        <v>22.422000000000001</v>
      </c>
      <c r="T805">
        <v>9.75</v>
      </c>
      <c r="U805">
        <v>3</v>
      </c>
      <c r="V805">
        <v>5.5</v>
      </c>
      <c r="W805">
        <v>9.1875</v>
      </c>
      <c r="X805">
        <v>43</v>
      </c>
      <c r="Y805">
        <v>6.95</v>
      </c>
      <c r="Z805">
        <v>10.9</v>
      </c>
    </row>
    <row r="806" spans="1:26" ht="12.75">
      <c r="A806" s="12">
        <f>(J805)</f>
        <v>6115300.6382114943</v>
      </c>
      <c r="B806" s="3" t="s">
        <v>46</v>
      </c>
      <c r="C806" s="7"/>
      <c r="D806" s="7"/>
      <c r="E806" s="7"/>
      <c r="F806" s="7"/>
      <c r="G806" s="7"/>
      <c r="M806" s="21" t="s">
        <v>47</v>
      </c>
      <c r="N806">
        <v>630</v>
      </c>
      <c r="O806">
        <v>23.114999999999998</v>
      </c>
      <c r="P806">
        <v>8.5050000000000008</v>
      </c>
      <c r="Q806">
        <v>25.532</v>
      </c>
      <c r="R806">
        <v>1.7330000000000001</v>
      </c>
      <c r="S806">
        <v>28.94</v>
      </c>
      <c r="T806">
        <v>9.75</v>
      </c>
      <c r="U806">
        <v>3</v>
      </c>
      <c r="V806">
        <v>5.5</v>
      </c>
      <c r="W806">
        <v>9.1875</v>
      </c>
      <c r="X806">
        <v>43</v>
      </c>
      <c r="Y806">
        <v>6.95</v>
      </c>
      <c r="Z806">
        <v>10.9</v>
      </c>
    </row>
    <row r="807" spans="1:26" ht="12.75">
      <c r="A807" s="12">
        <f>(J811)</f>
        <v>0</v>
      </c>
      <c r="B807" s="3" t="s">
        <v>48</v>
      </c>
      <c r="C807" s="7"/>
      <c r="D807" s="7"/>
      <c r="E807" s="7"/>
      <c r="F807" s="7"/>
      <c r="G807" s="7"/>
      <c r="J807" s="4" t="s">
        <v>49</v>
      </c>
      <c r="M807" s="22" t="s">
        <v>50</v>
      </c>
      <c r="N807" s="13">
        <v>234</v>
      </c>
      <c r="O807" s="13">
        <v>23.114999999999998</v>
      </c>
      <c r="P807" s="13">
        <v>10.148999999999999</v>
      </c>
      <c r="Q807" s="13">
        <v>29.140999999999998</v>
      </c>
      <c r="R807" s="13">
        <v>1.694</v>
      </c>
      <c r="S807" s="13">
        <v>34.436</v>
      </c>
      <c r="T807" s="13">
        <v>9.75</v>
      </c>
      <c r="U807" s="13">
        <v>3</v>
      </c>
      <c r="V807" s="13">
        <v>5.5</v>
      </c>
      <c r="W807" s="13">
        <v>9.1875</v>
      </c>
      <c r="X807" s="13">
        <v>43</v>
      </c>
      <c r="Y807" s="13">
        <v>6.95</v>
      </c>
      <c r="Z807" s="13">
        <v>10.9</v>
      </c>
    </row>
    <row r="808" spans="1:26" ht="12.75">
      <c r="A808" s="11">
        <f>'Estimating Form'!$D$18/12+R957</f>
        <v>1.9479166666666667</v>
      </c>
      <c r="B808" s="3" t="s">
        <v>957</v>
      </c>
      <c r="J808">
        <f>VLOOKUP(A799,M796:Z826,IF(A804=1,13,12)+1,FALSE)</f>
        <v>1.06</v>
      </c>
      <c r="K808" s="4" t="s">
        <v>51</v>
      </c>
      <c r="M808" s="21" t="s">
        <v>27</v>
      </c>
      <c r="N808">
        <v>630</v>
      </c>
      <c r="O808">
        <v>33.03</v>
      </c>
      <c r="P808">
        <v>5.9219999999999997</v>
      </c>
      <c r="Q808">
        <v>28.338999999999999</v>
      </c>
      <c r="R808">
        <v>2.1880000000000002</v>
      </c>
      <c r="S808">
        <v>20.149999999999999</v>
      </c>
      <c r="T808">
        <v>9.75</v>
      </c>
      <c r="U808">
        <v>3</v>
      </c>
      <c r="V808">
        <v>5.5</v>
      </c>
      <c r="W808">
        <v>9.1875</v>
      </c>
      <c r="X808">
        <v>43</v>
      </c>
      <c r="Y808">
        <v>3.41</v>
      </c>
      <c r="Z808">
        <v>5.34</v>
      </c>
    </row>
    <row r="809" spans="1:26">
      <c r="A809" s="8"/>
      <c r="B809" s="4"/>
      <c r="J809">
        <f>(A803)</f>
        <v>0</v>
      </c>
      <c r="K809" s="4" t="s">
        <v>52</v>
      </c>
      <c r="M809" s="21" t="s">
        <v>53</v>
      </c>
      <c r="N809">
        <v>630</v>
      </c>
      <c r="O809">
        <v>33.03</v>
      </c>
      <c r="P809">
        <v>9.2799999999999994</v>
      </c>
      <c r="Q809">
        <v>41.933</v>
      </c>
      <c r="R809">
        <v>2.1259999999999999</v>
      </c>
      <c r="S809">
        <v>31.579000000000001</v>
      </c>
      <c r="T809">
        <v>9.75</v>
      </c>
      <c r="U809">
        <v>3</v>
      </c>
      <c r="V809">
        <v>5.5</v>
      </c>
      <c r="W809">
        <v>9.1875</v>
      </c>
      <c r="X809">
        <v>43</v>
      </c>
      <c r="Y809">
        <v>3.41</v>
      </c>
      <c r="Z809">
        <v>5.34</v>
      </c>
    </row>
    <row r="810" spans="1:26">
      <c r="A810" s="8"/>
      <c r="B810" s="9"/>
      <c r="M810" s="21" t="s">
        <v>54</v>
      </c>
      <c r="N810">
        <v>630</v>
      </c>
      <c r="O810">
        <v>33.03</v>
      </c>
      <c r="P810">
        <v>11.898999999999999</v>
      </c>
      <c r="Q810">
        <v>51.284999999999997</v>
      </c>
      <c r="R810">
        <v>2.0760000000000001</v>
      </c>
      <c r="S810">
        <v>40.488999999999997</v>
      </c>
      <c r="T810">
        <v>9.75</v>
      </c>
      <c r="U810">
        <v>3</v>
      </c>
      <c r="V810">
        <v>5.5</v>
      </c>
      <c r="W810">
        <v>9.1875</v>
      </c>
      <c r="X810">
        <v>43</v>
      </c>
      <c r="Y810">
        <v>3.41</v>
      </c>
      <c r="Z810">
        <v>5.34</v>
      </c>
    </row>
    <row r="811" spans="1:26">
      <c r="A811" s="8"/>
      <c r="B811" s="9"/>
      <c r="J811">
        <f>(J808*(J803+4)*J809*10^-6)</f>
        <v>0</v>
      </c>
      <c r="M811" s="22" t="s">
        <v>55</v>
      </c>
      <c r="N811" s="13">
        <v>630</v>
      </c>
      <c r="O811" s="13">
        <v>33.03</v>
      </c>
      <c r="P811" s="13">
        <v>14.196</v>
      </c>
      <c r="Q811" s="13">
        <v>58.588999999999999</v>
      </c>
      <c r="R811" s="13">
        <v>2.032</v>
      </c>
      <c r="S811" s="13">
        <v>48.304000000000002</v>
      </c>
      <c r="T811" s="13">
        <v>9.75</v>
      </c>
      <c r="U811" s="13">
        <v>3</v>
      </c>
      <c r="V811" s="13">
        <v>5.5</v>
      </c>
      <c r="W811" s="13">
        <v>9.1875</v>
      </c>
      <c r="X811" s="13">
        <v>43</v>
      </c>
      <c r="Y811" s="13">
        <v>3.41</v>
      </c>
      <c r="Z811" s="13">
        <v>5.34</v>
      </c>
    </row>
    <row r="812" spans="1:26">
      <c r="A812" s="8"/>
      <c r="M812" s="21" t="s">
        <v>56</v>
      </c>
      <c r="N812">
        <v>630</v>
      </c>
      <c r="O812">
        <v>44.031999999999996</v>
      </c>
      <c r="P812">
        <v>8.109</v>
      </c>
      <c r="Q812">
        <v>51.593000000000004</v>
      </c>
      <c r="R812">
        <v>2.5219999999999998</v>
      </c>
      <c r="S812">
        <v>27.591999999999999</v>
      </c>
      <c r="T812">
        <v>10.9375</v>
      </c>
      <c r="U812">
        <v>2.5</v>
      </c>
      <c r="V812">
        <v>6</v>
      </c>
      <c r="W812">
        <v>9.9375</v>
      </c>
      <c r="X812">
        <v>61</v>
      </c>
      <c r="Y812">
        <v>3</v>
      </c>
      <c r="Z812">
        <v>4.29</v>
      </c>
    </row>
    <row r="813" spans="1:26">
      <c r="A813" s="8"/>
      <c r="B813" s="9"/>
      <c r="M813" s="21" t="s">
        <v>57</v>
      </c>
      <c r="N813">
        <v>630</v>
      </c>
      <c r="O813">
        <v>44.031999999999996</v>
      </c>
      <c r="P813">
        <v>9.4350000000000005</v>
      </c>
      <c r="Q813">
        <v>59.033999999999999</v>
      </c>
      <c r="R813">
        <v>2.5009999999999999</v>
      </c>
      <c r="S813">
        <v>32.103999999999999</v>
      </c>
      <c r="T813">
        <v>10.9375</v>
      </c>
      <c r="U813">
        <v>2.5</v>
      </c>
      <c r="V813">
        <v>6</v>
      </c>
      <c r="W813">
        <v>9.9375</v>
      </c>
      <c r="X813">
        <v>61</v>
      </c>
      <c r="Y813">
        <v>3</v>
      </c>
      <c r="Z813">
        <v>4.29</v>
      </c>
    </row>
    <row r="814" spans="1:26" ht="15.75">
      <c r="A814" s="37"/>
      <c r="B814" s="97"/>
      <c r="C814" s="515" t="s">
        <v>93</v>
      </c>
      <c r="D814" s="515"/>
      <c r="E814" s="40">
        <f>(B815-A803)/(O823)-(0.39*A800)</f>
        <v>-7.4861315230171033E-2</v>
      </c>
      <c r="M814" s="23" t="s">
        <v>59</v>
      </c>
      <c r="N814">
        <v>630</v>
      </c>
      <c r="O814">
        <v>44.031999999999996</v>
      </c>
      <c r="P814">
        <v>14.49</v>
      </c>
      <c r="Q814">
        <v>84.834000000000003</v>
      </c>
      <c r="R814">
        <v>2.42</v>
      </c>
      <c r="S814">
        <v>49.305</v>
      </c>
      <c r="T814">
        <v>10.9375</v>
      </c>
      <c r="U814">
        <v>2.5</v>
      </c>
      <c r="V814">
        <v>6</v>
      </c>
      <c r="W814">
        <v>9.9375</v>
      </c>
      <c r="X814">
        <v>61</v>
      </c>
      <c r="Y814">
        <v>3</v>
      </c>
      <c r="Z814">
        <v>4.29</v>
      </c>
    </row>
    <row r="815" spans="1:26" ht="15.75">
      <c r="A815" s="37" t="s">
        <v>98</v>
      </c>
      <c r="B815" s="41">
        <f>A802+B819</f>
        <v>39.375187499999996</v>
      </c>
      <c r="C815" s="516" t="s">
        <v>99</v>
      </c>
      <c r="D815" s="516"/>
      <c r="E815" s="42">
        <f>((B815/(O823))*1.1)</f>
        <v>0.48965255324681195</v>
      </c>
      <c r="M815" s="24" t="s">
        <v>58</v>
      </c>
      <c r="N815" s="13">
        <v>630</v>
      </c>
      <c r="O815" s="13">
        <v>44.031999999999996</v>
      </c>
      <c r="P815" s="13">
        <v>19.181000000000001</v>
      </c>
      <c r="Q815" s="13">
        <v>105.14</v>
      </c>
      <c r="R815" s="13">
        <v>2.3410000000000002</v>
      </c>
      <c r="S815" s="13">
        <v>65.268000000000001</v>
      </c>
      <c r="T815" s="13">
        <v>10.9375</v>
      </c>
      <c r="U815" s="13">
        <v>2.5</v>
      </c>
      <c r="V815" s="13">
        <v>6</v>
      </c>
      <c r="W815" s="13">
        <v>9.9375</v>
      </c>
      <c r="X815" s="13">
        <v>61</v>
      </c>
      <c r="Y815" s="13">
        <v>3</v>
      </c>
      <c r="Z815" s="13">
        <v>4.29</v>
      </c>
    </row>
    <row r="816" spans="1:26" ht="15">
      <c r="A816" s="37"/>
      <c r="B816" s="38"/>
      <c r="C816" s="517" t="s">
        <v>106</v>
      </c>
      <c r="D816" s="514" t="str">
        <f>IF(E814&gt;90,"Good!","Too Low, increase GLOPU or decrease jack diameter, if above 50 use ASK ENGINEERING")</f>
        <v>Too Low, increase GLOPU or decrease jack diameter, if above 50 use ASK ENGINEERING</v>
      </c>
      <c r="E816" s="514"/>
      <c r="F816" s="10"/>
      <c r="M816" s="21" t="s">
        <v>60</v>
      </c>
      <c r="N816">
        <v>630</v>
      </c>
      <c r="O816">
        <v>56.578000000000003</v>
      </c>
      <c r="P816">
        <v>9.2829999999999995</v>
      </c>
      <c r="Q816">
        <v>76.736999999999995</v>
      </c>
      <c r="R816">
        <v>2.875</v>
      </c>
      <c r="S816">
        <v>31.588999999999999</v>
      </c>
      <c r="T816">
        <v>10.9375</v>
      </c>
      <c r="U816">
        <v>2.5</v>
      </c>
      <c r="V816">
        <v>6</v>
      </c>
      <c r="W816">
        <v>9.9375</v>
      </c>
      <c r="X816">
        <v>61</v>
      </c>
      <c r="Y816">
        <v>1.82</v>
      </c>
      <c r="Z816">
        <v>2.6</v>
      </c>
    </row>
    <row r="817" spans="1:26" ht="15.75" thickBot="1">
      <c r="A817" s="37"/>
      <c r="B817" s="44"/>
      <c r="C817" s="518"/>
      <c r="D817" s="519"/>
      <c r="E817" s="519"/>
      <c r="M817" s="21" t="s">
        <v>61</v>
      </c>
      <c r="N817">
        <v>630</v>
      </c>
      <c r="O817">
        <v>56.578000000000003</v>
      </c>
      <c r="P817">
        <v>10.734999999999999</v>
      </c>
      <c r="Q817">
        <v>87.494</v>
      </c>
      <c r="R817">
        <v>2.855</v>
      </c>
      <c r="S817">
        <v>36.527999999999999</v>
      </c>
      <c r="T817">
        <v>10.9375</v>
      </c>
      <c r="U817">
        <v>2.5</v>
      </c>
      <c r="V817">
        <v>6</v>
      </c>
      <c r="W817">
        <v>9.9375</v>
      </c>
      <c r="X817">
        <v>61</v>
      </c>
      <c r="Y817">
        <v>1.82</v>
      </c>
      <c r="Z817">
        <v>2.6</v>
      </c>
    </row>
    <row r="818" spans="1:26" ht="15">
      <c r="A818" s="37"/>
      <c r="B818" s="39"/>
      <c r="C818" s="512" t="s">
        <v>118</v>
      </c>
      <c r="D818" s="514" t="str">
        <f>IF(AND(OR('Estimating Form'!$G$46="Yes",'Estimating Form'!$G$46="Required")*E815&gt;400),"Too High, reduce GLOPU or increase plunger diameter",IF(E815&gt;490,"Too High, reduce GLOPU or increase plunger diameter","Good!"))</f>
        <v>Good!</v>
      </c>
      <c r="E818" s="514"/>
      <c r="M818" s="24" t="s">
        <v>70</v>
      </c>
      <c r="N818" s="13">
        <v>630</v>
      </c>
      <c r="O818" s="13">
        <v>56.578000000000003</v>
      </c>
      <c r="P818" s="13">
        <v>15.885999999999999</v>
      </c>
      <c r="Q818" s="13">
        <v>122.965</v>
      </c>
      <c r="R818" s="13">
        <v>2.782</v>
      </c>
      <c r="S818" s="13">
        <v>54.055</v>
      </c>
      <c r="T818" s="13">
        <v>10.9375</v>
      </c>
      <c r="U818" s="13">
        <v>2.5</v>
      </c>
      <c r="V818" s="13">
        <v>6</v>
      </c>
      <c r="W818" s="13">
        <v>9.9375</v>
      </c>
      <c r="X818" s="13">
        <v>61</v>
      </c>
      <c r="Y818" s="13">
        <v>1.82</v>
      </c>
      <c r="Z818" s="13">
        <v>2.6</v>
      </c>
    </row>
    <row r="819" spans="1:26" ht="15">
      <c r="A819" s="46" t="s">
        <v>122</v>
      </c>
      <c r="B819" s="96">
        <f>S800*A808</f>
        <v>39.375187499999996</v>
      </c>
      <c r="C819" s="513"/>
      <c r="D819" s="514"/>
      <c r="E819" s="514"/>
      <c r="M819" s="21" t="s">
        <v>62</v>
      </c>
      <c r="N819">
        <v>537</v>
      </c>
      <c r="O819">
        <v>70.695999999999998</v>
      </c>
      <c r="P819">
        <v>12.27</v>
      </c>
      <c r="Q819">
        <v>126.072</v>
      </c>
      <c r="R819">
        <v>3.2050000000000001</v>
      </c>
      <c r="S819">
        <v>41.75</v>
      </c>
      <c r="T819">
        <v>14.375</v>
      </c>
      <c r="U819">
        <v>2.5</v>
      </c>
      <c r="V819">
        <v>6</v>
      </c>
      <c r="W819">
        <v>12.9375</v>
      </c>
      <c r="X819">
        <v>80</v>
      </c>
      <c r="Y819">
        <v>1.66</v>
      </c>
      <c r="Z819">
        <v>2.62</v>
      </c>
    </row>
    <row r="820" spans="1:26">
      <c r="E820" s="10"/>
      <c r="F820" s="10"/>
      <c r="M820" s="22" t="s">
        <v>63</v>
      </c>
      <c r="N820" s="13">
        <v>537</v>
      </c>
      <c r="O820" s="13">
        <v>70.695999999999998</v>
      </c>
      <c r="P820" s="13">
        <v>18.847000000000001</v>
      </c>
      <c r="Q820" s="13">
        <v>183.79400000000001</v>
      </c>
      <c r="R820" s="13">
        <v>3.1230000000000002</v>
      </c>
      <c r="S820" s="13">
        <v>64.132000000000005</v>
      </c>
      <c r="T820" s="13">
        <v>14.375</v>
      </c>
      <c r="U820" s="13">
        <v>2.5</v>
      </c>
      <c r="V820" s="13">
        <v>6</v>
      </c>
      <c r="W820" s="13">
        <v>12.9375</v>
      </c>
      <c r="X820" s="13">
        <v>80</v>
      </c>
      <c r="Y820" s="13">
        <v>1.66</v>
      </c>
      <c r="Z820" s="13">
        <v>2.62</v>
      </c>
    </row>
    <row r="821" spans="1:26">
      <c r="A821" s="8"/>
      <c r="B821" s="9"/>
      <c r="M821" s="21" t="s">
        <v>64</v>
      </c>
      <c r="N821">
        <v>537</v>
      </c>
      <c r="O821">
        <v>88.456000000000003</v>
      </c>
      <c r="P821">
        <v>13.656000000000001</v>
      </c>
      <c r="Q821">
        <v>177.40799999999999</v>
      </c>
      <c r="R821">
        <v>3.6040000000000001</v>
      </c>
      <c r="S821">
        <v>46.466999999999999</v>
      </c>
      <c r="T821">
        <v>14.375</v>
      </c>
      <c r="U821">
        <v>2.5</v>
      </c>
      <c r="V821">
        <v>6</v>
      </c>
      <c r="W821">
        <v>13.3125</v>
      </c>
      <c r="X821">
        <v>80</v>
      </c>
      <c r="Y821">
        <v>1.06</v>
      </c>
      <c r="Z821">
        <v>1.67</v>
      </c>
    </row>
    <row r="822" spans="1:26">
      <c r="B822" s="9"/>
      <c r="M822" s="21" t="s">
        <v>65</v>
      </c>
      <c r="N822">
        <v>537</v>
      </c>
      <c r="O822">
        <v>88.456000000000003</v>
      </c>
      <c r="P822">
        <v>16.48</v>
      </c>
      <c r="Q822">
        <v>210.39400000000001</v>
      </c>
      <c r="R822">
        <v>3.573</v>
      </c>
      <c r="S822">
        <v>56.076999999999998</v>
      </c>
      <c r="T822">
        <v>14.375</v>
      </c>
      <c r="U822">
        <v>2.5</v>
      </c>
      <c r="V822">
        <v>6</v>
      </c>
      <c r="W822">
        <v>13.3125</v>
      </c>
      <c r="X822">
        <v>80</v>
      </c>
      <c r="Y822">
        <v>1.06</v>
      </c>
      <c r="Z822">
        <v>1.67</v>
      </c>
    </row>
    <row r="823" spans="1:26">
      <c r="B823" s="9"/>
      <c r="M823" s="22" t="s">
        <v>66</v>
      </c>
      <c r="N823" s="13">
        <v>537</v>
      </c>
      <c r="O823" s="13">
        <v>88.456000000000003</v>
      </c>
      <c r="P823" s="13">
        <v>20.350999999999999</v>
      </c>
      <c r="Q823" s="13">
        <v>253.547</v>
      </c>
      <c r="R823" s="13">
        <v>3.53</v>
      </c>
      <c r="S823" s="13">
        <v>69.248999999999995</v>
      </c>
      <c r="T823" s="13">
        <v>14.375</v>
      </c>
      <c r="U823" s="13">
        <v>2.5</v>
      </c>
      <c r="V823" s="13">
        <v>6</v>
      </c>
      <c r="W823" s="13">
        <v>13.3125</v>
      </c>
      <c r="X823" s="13">
        <v>80</v>
      </c>
      <c r="Y823" s="13">
        <v>1.06</v>
      </c>
      <c r="Z823" s="13">
        <v>1.67</v>
      </c>
    </row>
    <row r="824" spans="1:26">
      <c r="M824" s="21" t="s">
        <v>67</v>
      </c>
      <c r="N824">
        <v>449</v>
      </c>
      <c r="O824">
        <v>124.937</v>
      </c>
      <c r="P824">
        <v>16.503</v>
      </c>
      <c r="Q824">
        <v>306.48500000000001</v>
      </c>
      <c r="R824">
        <v>4.3090000000000002</v>
      </c>
      <c r="S824">
        <v>56.155999999999999</v>
      </c>
      <c r="T824">
        <v>0</v>
      </c>
      <c r="U824">
        <v>2.5</v>
      </c>
      <c r="V824">
        <v>6</v>
      </c>
      <c r="W824">
        <v>15.3125</v>
      </c>
      <c r="X824">
        <v>125</v>
      </c>
      <c r="Y824">
        <v>0.83899999999999997</v>
      </c>
      <c r="Z824">
        <v>0</v>
      </c>
    </row>
    <row r="825" spans="1:26">
      <c r="M825" s="22" t="s">
        <v>68</v>
      </c>
      <c r="N825" s="13">
        <v>449</v>
      </c>
      <c r="O825" s="13">
        <v>124.937</v>
      </c>
      <c r="P825" s="13">
        <v>18.78</v>
      </c>
      <c r="Q825" s="13">
        <v>345.36099999999999</v>
      </c>
      <c r="R825" s="13">
        <v>4.2880000000000003</v>
      </c>
      <c r="S825" s="13">
        <v>63.902999999999999</v>
      </c>
      <c r="T825" s="13">
        <v>0</v>
      </c>
      <c r="U825" s="13">
        <v>2.5</v>
      </c>
      <c r="V825" s="13">
        <v>6</v>
      </c>
      <c r="W825" s="13">
        <v>15.3125</v>
      </c>
      <c r="X825" s="13">
        <v>125</v>
      </c>
      <c r="Y825" s="13">
        <v>0.83899999999999997</v>
      </c>
      <c r="Z825" s="13">
        <v>0</v>
      </c>
    </row>
    <row r="826" spans="1:26">
      <c r="M826" s="22" t="s">
        <v>69</v>
      </c>
      <c r="N826" s="14">
        <v>449</v>
      </c>
      <c r="O826" s="14">
        <v>194.51900000000001</v>
      </c>
      <c r="P826" s="14">
        <v>25.079000000000001</v>
      </c>
      <c r="Q826" s="14">
        <v>726.36</v>
      </c>
      <c r="R826" s="14">
        <v>5.3819999999999997</v>
      </c>
      <c r="S826" s="14">
        <v>85.337000000000003</v>
      </c>
      <c r="T826" s="14">
        <v>0</v>
      </c>
      <c r="U826" s="14">
        <v>6</v>
      </c>
      <c r="V826" s="14">
        <v>6</v>
      </c>
      <c r="W826" s="14">
        <v>15.375</v>
      </c>
      <c r="X826" s="14">
        <v>192</v>
      </c>
      <c r="Y826" s="14">
        <v>0.54300000000000004</v>
      </c>
      <c r="Z826" s="14">
        <v>0</v>
      </c>
    </row>
    <row r="829" spans="1:26" ht="12.75">
      <c r="A829" s="3"/>
      <c r="B829" s="15"/>
      <c r="C829" s="16"/>
      <c r="D829" s="16"/>
      <c r="E829" s="16"/>
      <c r="F829" s="16"/>
      <c r="G829" s="20"/>
      <c r="H829" s="4" t="s">
        <v>1</v>
      </c>
      <c r="J829" s="4" t="s">
        <v>2</v>
      </c>
      <c r="M829" s="4" t="s">
        <v>3</v>
      </c>
    </row>
    <row r="830" spans="1:26" ht="12.75">
      <c r="A830" s="1"/>
      <c r="B830" s="1"/>
      <c r="C830" s="1"/>
      <c r="D830" s="1"/>
      <c r="E830" s="1"/>
      <c r="F830" s="1"/>
      <c r="G830" s="1"/>
      <c r="J830" s="5">
        <f>2.85*10^8</f>
        <v>285000000</v>
      </c>
      <c r="K830" s="4" t="s">
        <v>4</v>
      </c>
      <c r="N830" s="4" t="s">
        <v>5</v>
      </c>
      <c r="O830" s="6" t="s">
        <v>6</v>
      </c>
      <c r="P830" s="6" t="s">
        <v>7</v>
      </c>
      <c r="Q830" s="6" t="s">
        <v>8</v>
      </c>
      <c r="R830" s="6" t="s">
        <v>9</v>
      </c>
      <c r="S830" s="6" t="s">
        <v>10</v>
      </c>
      <c r="T830" s="6" t="s">
        <v>11</v>
      </c>
      <c r="U830" s="6" t="s">
        <v>11</v>
      </c>
      <c r="V830" s="6" t="s">
        <v>11</v>
      </c>
      <c r="W830" s="6" t="s">
        <v>11</v>
      </c>
      <c r="X830" s="6" t="s">
        <v>12</v>
      </c>
      <c r="Y830" s="520" t="s">
        <v>13</v>
      </c>
      <c r="Z830" s="520"/>
    </row>
    <row r="831" spans="1:26" ht="12.75">
      <c r="A831" s="1"/>
      <c r="B831" s="1"/>
      <c r="C831" s="1"/>
      <c r="D831" s="1"/>
      <c r="E831" s="1"/>
      <c r="F831" s="1"/>
      <c r="G831" s="1"/>
      <c r="J831">
        <f>VLOOKUP(A832,M829:Z859,4,FALSE)</f>
        <v>16.503</v>
      </c>
      <c r="K831" s="4" t="s">
        <v>14</v>
      </c>
      <c r="M831" s="4" t="s">
        <v>15</v>
      </c>
      <c r="N831" s="4" t="s">
        <v>16</v>
      </c>
      <c r="O831" s="6" t="s">
        <v>17</v>
      </c>
      <c r="P831" s="6" t="s">
        <v>17</v>
      </c>
      <c r="Q831" s="6" t="s">
        <v>18</v>
      </c>
      <c r="R831" s="6" t="s">
        <v>19</v>
      </c>
      <c r="S831" s="6" t="s">
        <v>20</v>
      </c>
      <c r="T831" s="6" t="s">
        <v>21</v>
      </c>
      <c r="U831" s="6" t="s">
        <v>22</v>
      </c>
      <c r="V831" s="6" t="s">
        <v>23</v>
      </c>
      <c r="W831" s="6" t="s">
        <v>24</v>
      </c>
      <c r="Y831" s="6" t="s">
        <v>25</v>
      </c>
      <c r="Z831" s="4" t="s">
        <v>26</v>
      </c>
    </row>
    <row r="832" spans="1:26" ht="12.75">
      <c r="A832" s="11" t="s">
        <v>67</v>
      </c>
      <c r="B832" s="3" t="s">
        <v>28</v>
      </c>
      <c r="C832" s="7"/>
      <c r="D832" s="7"/>
      <c r="E832" s="7"/>
      <c r="F832" s="7"/>
      <c r="G832" s="3" t="s">
        <v>1</v>
      </c>
      <c r="J832">
        <f>(A835)</f>
        <v>0</v>
      </c>
      <c r="K832" s="4" t="s">
        <v>29</v>
      </c>
      <c r="M832" s="21" t="s">
        <v>30</v>
      </c>
      <c r="N832">
        <v>492</v>
      </c>
      <c r="O832">
        <v>11.781000000000001</v>
      </c>
      <c r="P832">
        <v>2.8980000000000001</v>
      </c>
      <c r="Q832">
        <v>4.766</v>
      </c>
      <c r="R832">
        <v>1.282</v>
      </c>
      <c r="S832">
        <v>9.8620000000000001</v>
      </c>
      <c r="T832">
        <v>0</v>
      </c>
      <c r="U832">
        <v>3</v>
      </c>
      <c r="V832">
        <v>6.75</v>
      </c>
      <c r="W832">
        <v>9.375</v>
      </c>
      <c r="X832">
        <v>22</v>
      </c>
      <c r="Y832">
        <v>10.47</v>
      </c>
      <c r="Z832">
        <v>0</v>
      </c>
    </row>
    <row r="833" spans="1:26" ht="12.75">
      <c r="A833" s="319">
        <f>'Estimating Form'!$D$18/12+S956</f>
        <v>1.3333333333333333</v>
      </c>
      <c r="B833" s="3" t="s">
        <v>31</v>
      </c>
      <c r="C833" s="7"/>
      <c r="D833" s="7"/>
      <c r="E833" s="7"/>
      <c r="F833" s="7"/>
      <c r="G833" s="7"/>
      <c r="J833">
        <f>VLOOKUP(A832,M829:Z860,7,FALSE)</f>
        <v>56.155999999999999</v>
      </c>
      <c r="K833" s="4" t="s">
        <v>32</v>
      </c>
      <c r="M833" s="22" t="s">
        <v>33</v>
      </c>
      <c r="N833" s="13">
        <v>492</v>
      </c>
      <c r="O833" s="13">
        <v>11.781000000000001</v>
      </c>
      <c r="P833" s="13">
        <v>5.94</v>
      </c>
      <c r="Q833" s="13">
        <v>8.33</v>
      </c>
      <c r="R833" s="13">
        <v>1.1839999999999999</v>
      </c>
      <c r="S833" s="13">
        <v>20.213999999999999</v>
      </c>
      <c r="T833" s="13">
        <v>0</v>
      </c>
      <c r="U833" s="13">
        <v>3</v>
      </c>
      <c r="V833" s="13">
        <v>6.75</v>
      </c>
      <c r="W833" s="13">
        <v>9.375</v>
      </c>
      <c r="X833" s="13">
        <v>22</v>
      </c>
      <c r="Y833" s="13">
        <v>10.47</v>
      </c>
      <c r="Z833" s="13">
        <v>0</v>
      </c>
    </row>
    <row r="834" spans="1:26" ht="12.75">
      <c r="A834" s="11">
        <v>0</v>
      </c>
      <c r="B834" s="3" t="s">
        <v>34</v>
      </c>
      <c r="C834" s="7"/>
      <c r="D834" s="7"/>
      <c r="E834" s="7"/>
      <c r="F834" s="7"/>
      <c r="G834" s="7"/>
      <c r="J834">
        <f>VLOOKUP(A832,M829:Z859,6,FALSE)</f>
        <v>4.3090000000000002</v>
      </c>
      <c r="K834" s="4" t="s">
        <v>35</v>
      </c>
      <c r="M834" s="21" t="s">
        <v>36</v>
      </c>
      <c r="N834">
        <v>594</v>
      </c>
      <c r="O834">
        <v>14.93</v>
      </c>
      <c r="P834">
        <v>3.3490000000000002</v>
      </c>
      <c r="Q834">
        <v>7.0650000000000004</v>
      </c>
      <c r="R834">
        <v>1.452</v>
      </c>
      <c r="S834">
        <v>11.396000000000001</v>
      </c>
      <c r="T834">
        <v>9.3125</v>
      </c>
      <c r="U834">
        <v>3</v>
      </c>
      <c r="V834">
        <v>5.5</v>
      </c>
      <c r="W834">
        <v>8.8125</v>
      </c>
      <c r="X834">
        <v>29</v>
      </c>
      <c r="Y834">
        <v>9.52</v>
      </c>
      <c r="Z834">
        <v>16.670000000000002</v>
      </c>
    </row>
    <row r="835" spans="1:26" ht="12.75">
      <c r="A835" s="11">
        <f>'Estimating Form'!$G$22</f>
        <v>0</v>
      </c>
      <c r="B835" s="3" t="s">
        <v>37</v>
      </c>
      <c r="C835" s="7"/>
      <c r="D835" s="7"/>
      <c r="E835" s="7"/>
      <c r="F835" s="7"/>
      <c r="G835" s="7"/>
      <c r="J835">
        <f>(A833*12+A834)</f>
        <v>16</v>
      </c>
      <c r="K835" s="4" t="s">
        <v>38</v>
      </c>
      <c r="M835" s="21" t="s">
        <v>39</v>
      </c>
      <c r="N835">
        <v>594</v>
      </c>
      <c r="O835">
        <v>14.93</v>
      </c>
      <c r="P835">
        <v>5.5170000000000003</v>
      </c>
      <c r="Q835">
        <v>10.686999999999999</v>
      </c>
      <c r="R835">
        <v>1.3919999999999999</v>
      </c>
      <c r="S835">
        <v>18.771999999999998</v>
      </c>
      <c r="T835">
        <v>9.3125</v>
      </c>
      <c r="U835">
        <v>3</v>
      </c>
      <c r="V835">
        <v>5.5</v>
      </c>
      <c r="W835">
        <v>8.8125</v>
      </c>
      <c r="X835">
        <v>29</v>
      </c>
      <c r="Y835">
        <v>9.52</v>
      </c>
      <c r="Z835">
        <v>16.670000000000002</v>
      </c>
    </row>
    <row r="836" spans="1:26" ht="12.75">
      <c r="A836" s="11">
        <f>'Estimating Form'!$D$20</f>
        <v>0</v>
      </c>
      <c r="B836" s="3" t="s">
        <v>40</v>
      </c>
      <c r="C836" s="7"/>
      <c r="D836" s="7"/>
      <c r="E836" s="7"/>
      <c r="F836" s="7"/>
      <c r="G836" s="7"/>
      <c r="J836">
        <f>(A833+A834/12)</f>
        <v>1.3333333333333333</v>
      </c>
      <c r="K836" s="4" t="s">
        <v>41</v>
      </c>
      <c r="M836" s="22" t="s">
        <v>42</v>
      </c>
      <c r="N836" s="13">
        <v>594</v>
      </c>
      <c r="O836" s="13">
        <v>14.93</v>
      </c>
      <c r="P836" s="13">
        <v>7.1269999999999998</v>
      </c>
      <c r="Q836" s="13">
        <v>12.893000000000001</v>
      </c>
      <c r="R836" s="13">
        <v>1.345</v>
      </c>
      <c r="S836" s="13">
        <v>24.251999999999999</v>
      </c>
      <c r="T836" s="13">
        <v>9.3125</v>
      </c>
      <c r="U836" s="13">
        <v>3</v>
      </c>
      <c r="V836" s="13">
        <v>5.5</v>
      </c>
      <c r="W836" s="13">
        <v>8.8125</v>
      </c>
      <c r="X836" s="13">
        <v>29</v>
      </c>
      <c r="Y836" s="13">
        <v>9.52</v>
      </c>
      <c r="Z836" s="13">
        <v>16.670000000000002</v>
      </c>
    </row>
    <row r="837" spans="1:26" ht="12.75">
      <c r="A837" s="11">
        <v>0</v>
      </c>
      <c r="B837" s="3" t="s">
        <v>43</v>
      </c>
      <c r="C837" s="7"/>
      <c r="D837" s="7"/>
      <c r="E837" s="7"/>
      <c r="F837" s="7"/>
      <c r="G837" s="7"/>
      <c r="M837" s="21" t="s">
        <v>44</v>
      </c>
      <c r="N837">
        <v>630</v>
      </c>
      <c r="O837">
        <v>23.114999999999998</v>
      </c>
      <c r="P837">
        <v>4.8</v>
      </c>
      <c r="Q837">
        <v>15.824999999999999</v>
      </c>
      <c r="R837">
        <v>1.8160000000000001</v>
      </c>
      <c r="S837">
        <v>16.332999999999998</v>
      </c>
      <c r="T837">
        <v>9.75</v>
      </c>
      <c r="U837">
        <v>3</v>
      </c>
      <c r="V837">
        <v>5.5</v>
      </c>
      <c r="W837">
        <v>9.1875</v>
      </c>
      <c r="X837">
        <v>43</v>
      </c>
      <c r="Y837">
        <v>6.95</v>
      </c>
      <c r="Z837">
        <v>10.9</v>
      </c>
    </row>
    <row r="838" spans="1:26" ht="12.75">
      <c r="A838" s="7"/>
      <c r="B838" s="7"/>
      <c r="C838" s="7"/>
      <c r="D838" s="7"/>
      <c r="E838" s="7"/>
      <c r="F838" s="7"/>
      <c r="G838" s="7"/>
      <c r="J838">
        <f>(J830*J831/(J832+(J833*J836/2)))*(J834/J835)^2</f>
        <v>9112045.4277295414</v>
      </c>
      <c r="M838" s="21" t="s">
        <v>45</v>
      </c>
      <c r="N838">
        <v>630</v>
      </c>
      <c r="O838">
        <v>23.114999999999998</v>
      </c>
      <c r="P838">
        <v>6.59</v>
      </c>
      <c r="Q838">
        <v>20.786000000000001</v>
      </c>
      <c r="R838">
        <v>1.776</v>
      </c>
      <c r="S838">
        <v>22.422000000000001</v>
      </c>
      <c r="T838">
        <v>9.75</v>
      </c>
      <c r="U838">
        <v>3</v>
      </c>
      <c r="V838">
        <v>5.5</v>
      </c>
      <c r="W838">
        <v>9.1875</v>
      </c>
      <c r="X838">
        <v>43</v>
      </c>
      <c r="Y838">
        <v>6.95</v>
      </c>
      <c r="Z838">
        <v>10.9</v>
      </c>
    </row>
    <row r="839" spans="1:26" ht="12.75">
      <c r="A839" s="12">
        <f>(J838)</f>
        <v>9112045.4277295414</v>
      </c>
      <c r="B839" s="3" t="s">
        <v>46</v>
      </c>
      <c r="C839" s="7"/>
      <c r="D839" s="7"/>
      <c r="E839" s="7"/>
      <c r="F839" s="7"/>
      <c r="G839" s="7"/>
      <c r="M839" s="21" t="s">
        <v>47</v>
      </c>
      <c r="N839">
        <v>630</v>
      </c>
      <c r="O839">
        <v>23.114999999999998</v>
      </c>
      <c r="P839">
        <v>8.5050000000000008</v>
      </c>
      <c r="Q839">
        <v>25.532</v>
      </c>
      <c r="R839">
        <v>1.7330000000000001</v>
      </c>
      <c r="S839">
        <v>28.94</v>
      </c>
      <c r="T839">
        <v>9.75</v>
      </c>
      <c r="U839">
        <v>3</v>
      </c>
      <c r="V839">
        <v>5.5</v>
      </c>
      <c r="W839">
        <v>9.1875</v>
      </c>
      <c r="X839">
        <v>43</v>
      </c>
      <c r="Y839">
        <v>6.95</v>
      </c>
      <c r="Z839">
        <v>10.9</v>
      </c>
    </row>
    <row r="840" spans="1:26" ht="12.75">
      <c r="A840" s="12">
        <f>(J844)</f>
        <v>0</v>
      </c>
      <c r="B840" s="3" t="s">
        <v>48</v>
      </c>
      <c r="C840" s="7"/>
      <c r="D840" s="7"/>
      <c r="E840" s="7"/>
      <c r="F840" s="7"/>
      <c r="G840" s="7"/>
      <c r="J840" s="4" t="s">
        <v>49</v>
      </c>
      <c r="M840" s="22" t="s">
        <v>50</v>
      </c>
      <c r="N840" s="13">
        <v>234</v>
      </c>
      <c r="O840" s="13">
        <v>23.114999999999998</v>
      </c>
      <c r="P840" s="13">
        <v>10.148999999999999</v>
      </c>
      <c r="Q840" s="13">
        <v>29.140999999999998</v>
      </c>
      <c r="R840" s="13">
        <v>1.694</v>
      </c>
      <c r="S840" s="13">
        <v>34.436</v>
      </c>
      <c r="T840" s="13">
        <v>9.75</v>
      </c>
      <c r="U840" s="13">
        <v>3</v>
      </c>
      <c r="V840" s="13">
        <v>5.5</v>
      </c>
      <c r="W840" s="13">
        <v>9.1875</v>
      </c>
      <c r="X840" s="13">
        <v>43</v>
      </c>
      <c r="Y840" s="13">
        <v>6.95</v>
      </c>
      <c r="Z840" s="13">
        <v>10.9</v>
      </c>
    </row>
    <row r="841" spans="1:26" ht="12.75">
      <c r="A841" s="11">
        <f>'Estimating Form'!$D$18/12+S957</f>
        <v>2</v>
      </c>
      <c r="B841" s="3" t="s">
        <v>957</v>
      </c>
      <c r="J841">
        <f>VLOOKUP(A832,M829:Z859,IF(A837=1,13,12)+1,FALSE)</f>
        <v>0.83899999999999997</v>
      </c>
      <c r="K841" s="4" t="s">
        <v>51</v>
      </c>
      <c r="M841" s="21" t="s">
        <v>27</v>
      </c>
      <c r="N841">
        <v>630</v>
      </c>
      <c r="O841">
        <v>33.03</v>
      </c>
      <c r="P841">
        <v>5.9219999999999997</v>
      </c>
      <c r="Q841">
        <v>28.338999999999999</v>
      </c>
      <c r="R841">
        <v>2.1880000000000002</v>
      </c>
      <c r="S841">
        <v>20.149999999999999</v>
      </c>
      <c r="T841">
        <v>9.75</v>
      </c>
      <c r="U841">
        <v>3</v>
      </c>
      <c r="V841">
        <v>5.5</v>
      </c>
      <c r="W841">
        <v>9.1875</v>
      </c>
      <c r="X841">
        <v>43</v>
      </c>
      <c r="Y841">
        <v>3.41</v>
      </c>
      <c r="Z841">
        <v>5.34</v>
      </c>
    </row>
    <row r="842" spans="1:26">
      <c r="A842" s="8"/>
      <c r="B842" s="4"/>
      <c r="J842">
        <f>(A836)</f>
        <v>0</v>
      </c>
      <c r="K842" s="4" t="s">
        <v>52</v>
      </c>
      <c r="M842" s="21" t="s">
        <v>53</v>
      </c>
      <c r="N842">
        <v>630</v>
      </c>
      <c r="O842">
        <v>33.03</v>
      </c>
      <c r="P842">
        <v>9.2799999999999994</v>
      </c>
      <c r="Q842">
        <v>41.933</v>
      </c>
      <c r="R842">
        <v>2.1259999999999999</v>
      </c>
      <c r="S842">
        <v>31.579000000000001</v>
      </c>
      <c r="T842">
        <v>9.75</v>
      </c>
      <c r="U842">
        <v>3</v>
      </c>
      <c r="V842">
        <v>5.5</v>
      </c>
      <c r="W842">
        <v>9.1875</v>
      </c>
      <c r="X842">
        <v>43</v>
      </c>
      <c r="Y842">
        <v>3.41</v>
      </c>
      <c r="Z842">
        <v>5.34</v>
      </c>
    </row>
    <row r="843" spans="1:26">
      <c r="A843" s="8"/>
      <c r="B843" s="9"/>
      <c r="M843" s="21" t="s">
        <v>54</v>
      </c>
      <c r="N843">
        <v>630</v>
      </c>
      <c r="O843">
        <v>33.03</v>
      </c>
      <c r="P843">
        <v>11.898999999999999</v>
      </c>
      <c r="Q843">
        <v>51.284999999999997</v>
      </c>
      <c r="R843">
        <v>2.0760000000000001</v>
      </c>
      <c r="S843">
        <v>40.488999999999997</v>
      </c>
      <c r="T843">
        <v>9.75</v>
      </c>
      <c r="U843">
        <v>3</v>
      </c>
      <c r="V843">
        <v>5.5</v>
      </c>
      <c r="W843">
        <v>9.1875</v>
      </c>
      <c r="X843">
        <v>43</v>
      </c>
      <c r="Y843">
        <v>3.41</v>
      </c>
      <c r="Z843">
        <v>5.34</v>
      </c>
    </row>
    <row r="844" spans="1:26">
      <c r="A844" s="8"/>
      <c r="B844" s="9"/>
      <c r="J844">
        <f>(J841*(J836+4)*J842*10^-6)</f>
        <v>0</v>
      </c>
      <c r="M844" s="22" t="s">
        <v>55</v>
      </c>
      <c r="N844" s="13">
        <v>630</v>
      </c>
      <c r="O844" s="13">
        <v>33.03</v>
      </c>
      <c r="P844" s="13">
        <v>14.196</v>
      </c>
      <c r="Q844" s="13">
        <v>58.588999999999999</v>
      </c>
      <c r="R844" s="13">
        <v>2.032</v>
      </c>
      <c r="S844" s="13">
        <v>48.304000000000002</v>
      </c>
      <c r="T844" s="13">
        <v>9.75</v>
      </c>
      <c r="U844" s="13">
        <v>3</v>
      </c>
      <c r="V844" s="13">
        <v>5.5</v>
      </c>
      <c r="W844" s="13">
        <v>9.1875</v>
      </c>
      <c r="X844" s="13">
        <v>43</v>
      </c>
      <c r="Y844" s="13">
        <v>3.41</v>
      </c>
      <c r="Z844" s="13">
        <v>5.34</v>
      </c>
    </row>
    <row r="845" spans="1:26">
      <c r="A845" s="8"/>
      <c r="M845" s="21" t="s">
        <v>56</v>
      </c>
      <c r="N845">
        <v>630</v>
      </c>
      <c r="O845">
        <v>44.031999999999996</v>
      </c>
      <c r="P845">
        <v>8.109</v>
      </c>
      <c r="Q845">
        <v>51.593000000000004</v>
      </c>
      <c r="R845">
        <v>2.5219999999999998</v>
      </c>
      <c r="S845">
        <v>27.591999999999999</v>
      </c>
      <c r="T845">
        <v>10.9375</v>
      </c>
      <c r="U845">
        <v>2.5</v>
      </c>
      <c r="V845">
        <v>6</v>
      </c>
      <c r="W845">
        <v>9.9375</v>
      </c>
      <c r="X845">
        <v>61</v>
      </c>
      <c r="Y845">
        <v>3</v>
      </c>
      <c r="Z845">
        <v>4.29</v>
      </c>
    </row>
    <row r="846" spans="1:26">
      <c r="A846" s="8"/>
      <c r="B846" s="9"/>
      <c r="M846" s="21" t="s">
        <v>57</v>
      </c>
      <c r="N846">
        <v>630</v>
      </c>
      <c r="O846">
        <v>44.031999999999996</v>
      </c>
      <c r="P846">
        <v>9.4350000000000005</v>
      </c>
      <c r="Q846">
        <v>59.033999999999999</v>
      </c>
      <c r="R846">
        <v>2.5009999999999999</v>
      </c>
      <c r="S846">
        <v>32.103999999999999</v>
      </c>
      <c r="T846">
        <v>10.9375</v>
      </c>
      <c r="U846">
        <v>2.5</v>
      </c>
      <c r="V846">
        <v>6</v>
      </c>
      <c r="W846">
        <v>9.9375</v>
      </c>
      <c r="X846">
        <v>61</v>
      </c>
      <c r="Y846">
        <v>3</v>
      </c>
      <c r="Z846">
        <v>4.29</v>
      </c>
    </row>
    <row r="847" spans="1:26" ht="15.75">
      <c r="A847" s="37"/>
      <c r="B847" s="97"/>
      <c r="C847" s="515" t="s">
        <v>93</v>
      </c>
      <c r="D847" s="515"/>
      <c r="E847" s="40">
        <f>(B848-A836)/(O857)-(0.39*A833)</f>
        <v>-0.19641291210770234</v>
      </c>
      <c r="M847" s="23" t="s">
        <v>59</v>
      </c>
      <c r="N847">
        <v>630</v>
      </c>
      <c r="O847">
        <v>44.031999999999996</v>
      </c>
      <c r="P847">
        <v>14.49</v>
      </c>
      <c r="Q847">
        <v>84.834000000000003</v>
      </c>
      <c r="R847">
        <v>2.42</v>
      </c>
      <c r="S847">
        <v>49.305</v>
      </c>
      <c r="T847">
        <v>10.9375</v>
      </c>
      <c r="U847">
        <v>2.5</v>
      </c>
      <c r="V847">
        <v>6</v>
      </c>
      <c r="W847">
        <v>9.9375</v>
      </c>
      <c r="X847">
        <v>61</v>
      </c>
      <c r="Y847">
        <v>3</v>
      </c>
      <c r="Z847">
        <v>4.29</v>
      </c>
    </row>
    <row r="848" spans="1:26" ht="15.75">
      <c r="A848" s="37" t="s">
        <v>98</v>
      </c>
      <c r="B848" s="41">
        <f>A835+B852</f>
        <v>40.427999999999997</v>
      </c>
      <c r="C848" s="516" t="s">
        <v>99</v>
      </c>
      <c r="D848" s="516"/>
      <c r="E848" s="42">
        <f>((B848/(O857))*1.1)</f>
        <v>0.35594579668152748</v>
      </c>
      <c r="M848" s="24" t="s">
        <v>58</v>
      </c>
      <c r="N848" s="13">
        <v>630</v>
      </c>
      <c r="O848" s="13">
        <v>44.031999999999996</v>
      </c>
      <c r="P848" s="13">
        <v>19.181000000000001</v>
      </c>
      <c r="Q848" s="13">
        <v>105.14</v>
      </c>
      <c r="R848" s="13">
        <v>2.3410000000000002</v>
      </c>
      <c r="S848" s="13">
        <v>65.268000000000001</v>
      </c>
      <c r="T848" s="13">
        <v>10.9375</v>
      </c>
      <c r="U848" s="13">
        <v>2.5</v>
      </c>
      <c r="V848" s="13">
        <v>6</v>
      </c>
      <c r="W848" s="13">
        <v>9.9375</v>
      </c>
      <c r="X848" s="13">
        <v>61</v>
      </c>
      <c r="Y848" s="13">
        <v>3</v>
      </c>
      <c r="Z848" s="13">
        <v>4.29</v>
      </c>
    </row>
    <row r="849" spans="1:26" ht="15">
      <c r="A849" s="37"/>
      <c r="B849" s="38"/>
      <c r="C849" s="517" t="s">
        <v>106</v>
      </c>
      <c r="D849" s="514" t="str">
        <f>IF(E847&gt;90,"Good!","Too Low, increase GLOPU or decrease jack diameter, if above 50 use ASK ENGINEERING")</f>
        <v>Too Low, increase GLOPU or decrease jack diameter, if above 50 use ASK ENGINEERING</v>
      </c>
      <c r="E849" s="514"/>
      <c r="F849" s="10"/>
      <c r="M849" s="21" t="s">
        <v>60</v>
      </c>
      <c r="N849">
        <v>630</v>
      </c>
      <c r="O849">
        <v>56.578000000000003</v>
      </c>
      <c r="P849">
        <v>9.2829999999999995</v>
      </c>
      <c r="Q849">
        <v>76.736999999999995</v>
      </c>
      <c r="R849">
        <v>2.875</v>
      </c>
      <c r="S849">
        <v>31.588999999999999</v>
      </c>
      <c r="T849">
        <v>10.9375</v>
      </c>
      <c r="U849">
        <v>2.5</v>
      </c>
      <c r="V849">
        <v>6</v>
      </c>
      <c r="W849">
        <v>9.9375</v>
      </c>
      <c r="X849">
        <v>61</v>
      </c>
      <c r="Y849">
        <v>1.82</v>
      </c>
      <c r="Z849">
        <v>2.6</v>
      </c>
    </row>
    <row r="850" spans="1:26" ht="15.75" thickBot="1">
      <c r="A850" s="37"/>
      <c r="B850" s="44"/>
      <c r="C850" s="518"/>
      <c r="D850" s="519"/>
      <c r="E850" s="519"/>
      <c r="M850" s="21" t="s">
        <v>61</v>
      </c>
      <c r="N850">
        <v>630</v>
      </c>
      <c r="O850">
        <v>56.578000000000003</v>
      </c>
      <c r="P850">
        <v>10.734999999999999</v>
      </c>
      <c r="Q850">
        <v>87.494</v>
      </c>
      <c r="R850">
        <v>2.855</v>
      </c>
      <c r="S850">
        <v>36.527999999999999</v>
      </c>
      <c r="T850">
        <v>10.9375</v>
      </c>
      <c r="U850">
        <v>2.5</v>
      </c>
      <c r="V850">
        <v>6</v>
      </c>
      <c r="W850">
        <v>9.9375</v>
      </c>
      <c r="X850">
        <v>61</v>
      </c>
      <c r="Y850">
        <v>1.82</v>
      </c>
      <c r="Z850">
        <v>2.6</v>
      </c>
    </row>
    <row r="851" spans="1:26" ht="15">
      <c r="A851" s="37"/>
      <c r="B851" s="39"/>
      <c r="C851" s="512" t="s">
        <v>118</v>
      </c>
      <c r="D851" s="514" t="str">
        <f>IF(E848&gt;400,"Too High, reduce GLOPU or increase plunger diameter","Good!")</f>
        <v>Good!</v>
      </c>
      <c r="E851" s="514"/>
      <c r="M851" s="24" t="s">
        <v>70</v>
      </c>
      <c r="N851" s="13">
        <v>630</v>
      </c>
      <c r="O851" s="13">
        <v>56.578000000000003</v>
      </c>
      <c r="P851" s="13">
        <v>15.885999999999999</v>
      </c>
      <c r="Q851" s="13">
        <v>122.965</v>
      </c>
      <c r="R851" s="13">
        <v>2.782</v>
      </c>
      <c r="S851" s="13">
        <v>54.055</v>
      </c>
      <c r="T851" s="13">
        <v>10.9375</v>
      </c>
      <c r="U851" s="13">
        <v>2.5</v>
      </c>
      <c r="V851" s="13">
        <v>6</v>
      </c>
      <c r="W851" s="13">
        <v>9.9375</v>
      </c>
      <c r="X851" s="13">
        <v>61</v>
      </c>
      <c r="Y851" s="13">
        <v>1.82</v>
      </c>
      <c r="Z851" s="13">
        <v>2.6</v>
      </c>
    </row>
    <row r="852" spans="1:26" ht="15">
      <c r="A852" s="46" t="s">
        <v>122</v>
      </c>
      <c r="B852" s="96">
        <f>S833*A841</f>
        <v>40.427999999999997</v>
      </c>
      <c r="C852" s="513"/>
      <c r="D852" s="514"/>
      <c r="E852" s="514"/>
      <c r="M852" s="21" t="s">
        <v>62</v>
      </c>
      <c r="N852">
        <v>537</v>
      </c>
      <c r="O852">
        <v>70.695999999999998</v>
      </c>
      <c r="P852">
        <v>12.27</v>
      </c>
      <c r="Q852">
        <v>126.072</v>
      </c>
      <c r="R852">
        <v>3.2050000000000001</v>
      </c>
      <c r="S852">
        <v>41.75</v>
      </c>
      <c r="T852">
        <v>14.375</v>
      </c>
      <c r="U852">
        <v>2.5</v>
      </c>
      <c r="V852">
        <v>6</v>
      </c>
      <c r="W852">
        <v>12.9375</v>
      </c>
      <c r="X852">
        <v>80</v>
      </c>
      <c r="Y852">
        <v>1.66</v>
      </c>
      <c r="Z852">
        <v>2.62</v>
      </c>
    </row>
    <row r="853" spans="1:26">
      <c r="E853" s="10"/>
      <c r="F853" s="10"/>
      <c r="M853" s="22" t="s">
        <v>63</v>
      </c>
      <c r="N853" s="13">
        <v>537</v>
      </c>
      <c r="O853" s="13">
        <v>70.695999999999998</v>
      </c>
      <c r="P853" s="13">
        <v>18.847000000000001</v>
      </c>
      <c r="Q853" s="13">
        <v>183.79400000000001</v>
      </c>
      <c r="R853" s="13">
        <v>3.1230000000000002</v>
      </c>
      <c r="S853" s="13">
        <v>64.132000000000005</v>
      </c>
      <c r="T853" s="13">
        <v>14.375</v>
      </c>
      <c r="U853" s="13">
        <v>2.5</v>
      </c>
      <c r="V853" s="13">
        <v>6</v>
      </c>
      <c r="W853" s="13">
        <v>12.9375</v>
      </c>
      <c r="X853" s="13">
        <v>80</v>
      </c>
      <c r="Y853" s="13">
        <v>1.66</v>
      </c>
      <c r="Z853" s="13">
        <v>2.62</v>
      </c>
    </row>
    <row r="854" spans="1:26">
      <c r="A854" s="8"/>
      <c r="B854" s="9"/>
      <c r="M854" s="21" t="s">
        <v>64</v>
      </c>
      <c r="N854">
        <v>537</v>
      </c>
      <c r="O854">
        <v>88.456000000000003</v>
      </c>
      <c r="P854">
        <v>13.656000000000001</v>
      </c>
      <c r="Q854">
        <v>177.40799999999999</v>
      </c>
      <c r="R854">
        <v>3.6040000000000001</v>
      </c>
      <c r="S854">
        <v>46.466999999999999</v>
      </c>
      <c r="T854">
        <v>14.375</v>
      </c>
      <c r="U854">
        <v>2.5</v>
      </c>
      <c r="V854">
        <v>6</v>
      </c>
      <c r="W854">
        <v>13.3125</v>
      </c>
      <c r="X854">
        <v>80</v>
      </c>
      <c r="Y854">
        <v>1.06</v>
      </c>
      <c r="Z854">
        <v>1.67</v>
      </c>
    </row>
    <row r="855" spans="1:26">
      <c r="B855" s="9"/>
      <c r="M855" s="21" t="s">
        <v>65</v>
      </c>
      <c r="N855">
        <v>537</v>
      </c>
      <c r="O855">
        <v>88.456000000000003</v>
      </c>
      <c r="P855">
        <v>16.48</v>
      </c>
      <c r="Q855">
        <v>210.39400000000001</v>
      </c>
      <c r="R855">
        <v>3.573</v>
      </c>
      <c r="S855">
        <v>56.076999999999998</v>
      </c>
      <c r="T855">
        <v>14.375</v>
      </c>
      <c r="U855">
        <v>2.5</v>
      </c>
      <c r="V855">
        <v>6</v>
      </c>
      <c r="W855">
        <v>13.3125</v>
      </c>
      <c r="X855">
        <v>80</v>
      </c>
      <c r="Y855">
        <v>1.06</v>
      </c>
      <c r="Z855">
        <v>1.67</v>
      </c>
    </row>
    <row r="856" spans="1:26">
      <c r="B856" s="9"/>
      <c r="M856" s="22" t="s">
        <v>66</v>
      </c>
      <c r="N856" s="13">
        <v>537</v>
      </c>
      <c r="O856" s="13">
        <v>88.456000000000003</v>
      </c>
      <c r="P856" s="13">
        <v>20.350999999999999</v>
      </c>
      <c r="Q856" s="13">
        <v>253.547</v>
      </c>
      <c r="R856" s="13">
        <v>3.53</v>
      </c>
      <c r="S856" s="13">
        <v>69.248999999999995</v>
      </c>
      <c r="T856" s="13">
        <v>14.375</v>
      </c>
      <c r="U856" s="13">
        <v>2.5</v>
      </c>
      <c r="V856" s="13">
        <v>6</v>
      </c>
      <c r="W856" s="13">
        <v>13.3125</v>
      </c>
      <c r="X856" s="13">
        <v>80</v>
      </c>
      <c r="Y856" s="13">
        <v>1.06</v>
      </c>
      <c r="Z856" s="13">
        <v>1.67</v>
      </c>
    </row>
    <row r="857" spans="1:26">
      <c r="M857" s="21" t="s">
        <v>67</v>
      </c>
      <c r="N857">
        <v>449</v>
      </c>
      <c r="O857">
        <v>124.937</v>
      </c>
      <c r="P857">
        <v>16.503</v>
      </c>
      <c r="Q857">
        <v>306.48500000000001</v>
      </c>
      <c r="R857">
        <v>4.3090000000000002</v>
      </c>
      <c r="S857">
        <v>56.155999999999999</v>
      </c>
      <c r="T857">
        <v>0</v>
      </c>
      <c r="U857">
        <v>2.5</v>
      </c>
      <c r="V857">
        <v>6</v>
      </c>
      <c r="W857">
        <v>15.3125</v>
      </c>
      <c r="X857">
        <v>125</v>
      </c>
      <c r="Y857">
        <v>0.83899999999999997</v>
      </c>
      <c r="Z857">
        <v>0</v>
      </c>
    </row>
    <row r="858" spans="1:26">
      <c r="M858" s="22" t="s">
        <v>68</v>
      </c>
      <c r="N858" s="13">
        <v>449</v>
      </c>
      <c r="O858" s="13">
        <v>124.937</v>
      </c>
      <c r="P858" s="13">
        <v>18.78</v>
      </c>
      <c r="Q858" s="13">
        <v>345.36099999999999</v>
      </c>
      <c r="R858" s="13">
        <v>4.2880000000000003</v>
      </c>
      <c r="S858" s="13">
        <v>63.902999999999999</v>
      </c>
      <c r="T858" s="13">
        <v>0</v>
      </c>
      <c r="U858" s="13">
        <v>2.5</v>
      </c>
      <c r="V858" s="13">
        <v>6</v>
      </c>
      <c r="W858" s="13">
        <v>15.3125</v>
      </c>
      <c r="X858" s="13">
        <v>125</v>
      </c>
      <c r="Y858" s="13">
        <v>0.83899999999999997</v>
      </c>
      <c r="Z858" s="13">
        <v>0</v>
      </c>
    </row>
    <row r="859" spans="1:26">
      <c r="M859" s="22" t="s">
        <v>69</v>
      </c>
      <c r="N859" s="14">
        <v>449</v>
      </c>
      <c r="O859" s="14">
        <v>194.51900000000001</v>
      </c>
      <c r="P859" s="14">
        <v>25.079000000000001</v>
      </c>
      <c r="Q859" s="14">
        <v>726.36</v>
      </c>
      <c r="R859" s="14">
        <v>5.3819999999999997</v>
      </c>
      <c r="S859" s="14">
        <v>85.337000000000003</v>
      </c>
      <c r="T859" s="14">
        <v>0</v>
      </c>
      <c r="U859" s="14">
        <v>6</v>
      </c>
      <c r="V859" s="14">
        <v>6</v>
      </c>
      <c r="W859" s="14">
        <v>15.375</v>
      </c>
      <c r="X859" s="14">
        <v>192</v>
      </c>
      <c r="Y859" s="14">
        <v>0.54300000000000004</v>
      </c>
      <c r="Z859" s="14">
        <v>0</v>
      </c>
    </row>
    <row r="862" spans="1:26" ht="12.75">
      <c r="A862" s="3"/>
      <c r="B862" s="15"/>
      <c r="C862" s="16"/>
      <c r="D862" s="16"/>
      <c r="E862" s="16"/>
      <c r="F862" s="16"/>
      <c r="G862" s="20"/>
      <c r="H862" s="4" t="s">
        <v>1</v>
      </c>
      <c r="J862" s="4" t="s">
        <v>2</v>
      </c>
      <c r="M862" s="4" t="s">
        <v>3</v>
      </c>
    </row>
    <row r="863" spans="1:26" ht="12.75">
      <c r="A863" s="1"/>
      <c r="B863" s="1"/>
      <c r="C863" s="1"/>
      <c r="D863" s="1"/>
      <c r="E863" s="1"/>
      <c r="F863" s="1"/>
      <c r="G863" s="1"/>
      <c r="J863" s="5">
        <f>2.85*10^8</f>
        <v>285000000</v>
      </c>
      <c r="K863" s="4" t="s">
        <v>4</v>
      </c>
      <c r="N863" s="4" t="s">
        <v>5</v>
      </c>
      <c r="O863" s="6" t="s">
        <v>6</v>
      </c>
      <c r="P863" s="6" t="s">
        <v>7</v>
      </c>
      <c r="Q863" s="6" t="s">
        <v>8</v>
      </c>
      <c r="R863" s="6" t="s">
        <v>9</v>
      </c>
      <c r="S863" s="6" t="s">
        <v>10</v>
      </c>
      <c r="T863" s="6" t="s">
        <v>11</v>
      </c>
      <c r="U863" s="6" t="s">
        <v>11</v>
      </c>
      <c r="V863" s="6" t="s">
        <v>11</v>
      </c>
      <c r="W863" s="6" t="s">
        <v>11</v>
      </c>
      <c r="X863" s="6" t="s">
        <v>12</v>
      </c>
      <c r="Y863" s="520" t="s">
        <v>13</v>
      </c>
      <c r="Z863" s="520"/>
    </row>
    <row r="864" spans="1:26" ht="12.75">
      <c r="A864" s="1"/>
      <c r="B864" s="1"/>
      <c r="C864" s="1"/>
      <c r="D864" s="1"/>
      <c r="E864" s="1"/>
      <c r="F864" s="1"/>
      <c r="G864" s="1"/>
      <c r="J864">
        <f>VLOOKUP(A865,M862:Z892,4,FALSE)</f>
        <v>18.78</v>
      </c>
      <c r="K864" s="4" t="s">
        <v>14</v>
      </c>
      <c r="M864" s="4" t="s">
        <v>15</v>
      </c>
      <c r="N864" s="4" t="s">
        <v>16</v>
      </c>
      <c r="O864" s="6" t="s">
        <v>17</v>
      </c>
      <c r="P864" s="6" t="s">
        <v>17</v>
      </c>
      <c r="Q864" s="6" t="s">
        <v>18</v>
      </c>
      <c r="R864" s="6" t="s">
        <v>19</v>
      </c>
      <c r="S864" s="6" t="s">
        <v>20</v>
      </c>
      <c r="T864" s="6" t="s">
        <v>21</v>
      </c>
      <c r="U864" s="6" t="s">
        <v>22</v>
      </c>
      <c r="V864" s="6" t="s">
        <v>23</v>
      </c>
      <c r="W864" s="6" t="s">
        <v>24</v>
      </c>
      <c r="Y864" s="6" t="s">
        <v>25</v>
      </c>
      <c r="Z864" s="4" t="s">
        <v>26</v>
      </c>
    </row>
    <row r="865" spans="1:26" ht="12.75">
      <c r="A865" s="11" t="s">
        <v>68</v>
      </c>
      <c r="B865" s="3" t="s">
        <v>28</v>
      </c>
      <c r="C865" s="7"/>
      <c r="D865" s="7"/>
      <c r="E865" s="7"/>
      <c r="F865" s="7"/>
      <c r="G865" s="3" t="s">
        <v>1</v>
      </c>
      <c r="J865">
        <f>(A868)</f>
        <v>0</v>
      </c>
      <c r="K865" s="4" t="s">
        <v>29</v>
      </c>
      <c r="M865" s="21" t="s">
        <v>30</v>
      </c>
      <c r="N865">
        <v>492</v>
      </c>
      <c r="O865">
        <v>11.781000000000001</v>
      </c>
      <c r="P865">
        <v>2.8980000000000001</v>
      </c>
      <c r="Q865">
        <v>4.766</v>
      </c>
      <c r="R865">
        <v>1.282</v>
      </c>
      <c r="S865">
        <v>9.8620000000000001</v>
      </c>
      <c r="T865">
        <v>0</v>
      </c>
      <c r="U865">
        <v>3</v>
      </c>
      <c r="V865">
        <v>6.75</v>
      </c>
      <c r="W865">
        <v>9.375</v>
      </c>
      <c r="X865">
        <v>22</v>
      </c>
      <c r="Y865">
        <v>10.47</v>
      </c>
      <c r="Z865">
        <v>0</v>
      </c>
    </row>
    <row r="866" spans="1:26" ht="12.75">
      <c r="A866" s="319">
        <f>'Estimating Form'!$D$18/12+S956</f>
        <v>1.3333333333333333</v>
      </c>
      <c r="B866" s="3" t="s">
        <v>31</v>
      </c>
      <c r="C866" s="7"/>
      <c r="D866" s="7"/>
      <c r="E866" s="7"/>
      <c r="F866" s="7"/>
      <c r="G866" s="7"/>
      <c r="J866">
        <f>VLOOKUP(A865,M862:Z893,7,FALSE)</f>
        <v>63.902999999999999</v>
      </c>
      <c r="K866" s="4" t="s">
        <v>32</v>
      </c>
      <c r="M866" s="22" t="s">
        <v>33</v>
      </c>
      <c r="N866" s="13">
        <v>492</v>
      </c>
      <c r="O866" s="13">
        <v>11.781000000000001</v>
      </c>
      <c r="P866" s="13">
        <v>5.94</v>
      </c>
      <c r="Q866" s="13">
        <v>8.33</v>
      </c>
      <c r="R866" s="13">
        <v>1.1839999999999999</v>
      </c>
      <c r="S866" s="13">
        <v>20.213999999999999</v>
      </c>
      <c r="T866" s="13">
        <v>0</v>
      </c>
      <c r="U866" s="13">
        <v>3</v>
      </c>
      <c r="V866" s="13">
        <v>6.75</v>
      </c>
      <c r="W866" s="13">
        <v>9.375</v>
      </c>
      <c r="X866" s="13">
        <v>22</v>
      </c>
      <c r="Y866" s="13">
        <v>10.47</v>
      </c>
      <c r="Z866" s="13">
        <v>0</v>
      </c>
    </row>
    <row r="867" spans="1:26" ht="12.75">
      <c r="A867" s="11">
        <v>0</v>
      </c>
      <c r="B867" s="3" t="s">
        <v>34</v>
      </c>
      <c r="C867" s="7"/>
      <c r="D867" s="7"/>
      <c r="E867" s="7"/>
      <c r="F867" s="7"/>
      <c r="G867" s="7"/>
      <c r="J867">
        <f>VLOOKUP(A865,M862:Z892,6,FALSE)</f>
        <v>4.2880000000000003</v>
      </c>
      <c r="K867" s="4" t="s">
        <v>35</v>
      </c>
      <c r="M867" s="21" t="s">
        <v>36</v>
      </c>
      <c r="N867">
        <v>594</v>
      </c>
      <c r="O867">
        <v>14.93</v>
      </c>
      <c r="P867">
        <v>3.3490000000000002</v>
      </c>
      <c r="Q867">
        <v>7.0650000000000004</v>
      </c>
      <c r="R867">
        <v>1.452</v>
      </c>
      <c r="S867">
        <v>11.396000000000001</v>
      </c>
      <c r="T867">
        <v>9.3125</v>
      </c>
      <c r="U867">
        <v>3</v>
      </c>
      <c r="V867">
        <v>5.5</v>
      </c>
      <c r="W867">
        <v>8.8125</v>
      </c>
      <c r="X867">
        <v>29</v>
      </c>
      <c r="Y867">
        <v>9.52</v>
      </c>
      <c r="Z867">
        <v>16.670000000000002</v>
      </c>
    </row>
    <row r="868" spans="1:26" ht="12.75">
      <c r="A868" s="11">
        <f>'Estimating Form'!$G$22</f>
        <v>0</v>
      </c>
      <c r="B868" s="3" t="s">
        <v>37</v>
      </c>
      <c r="C868" s="7"/>
      <c r="D868" s="7"/>
      <c r="E868" s="7"/>
      <c r="F868" s="7"/>
      <c r="G868" s="7"/>
      <c r="J868">
        <f>(A866*12+A867)</f>
        <v>16</v>
      </c>
      <c r="K868" s="4" t="s">
        <v>38</v>
      </c>
      <c r="M868" s="21" t="s">
        <v>39</v>
      </c>
      <c r="N868">
        <v>594</v>
      </c>
      <c r="O868">
        <v>14.93</v>
      </c>
      <c r="P868">
        <v>5.5170000000000003</v>
      </c>
      <c r="Q868">
        <v>10.686999999999999</v>
      </c>
      <c r="R868">
        <v>1.3919999999999999</v>
      </c>
      <c r="S868">
        <v>18.771999999999998</v>
      </c>
      <c r="T868">
        <v>9.3125</v>
      </c>
      <c r="U868">
        <v>3</v>
      </c>
      <c r="V868">
        <v>5.5</v>
      </c>
      <c r="W868">
        <v>8.8125</v>
      </c>
      <c r="X868">
        <v>29</v>
      </c>
      <c r="Y868">
        <v>9.52</v>
      </c>
      <c r="Z868">
        <v>16.670000000000002</v>
      </c>
    </row>
    <row r="869" spans="1:26" ht="12.75">
      <c r="A869" s="11">
        <f>'Estimating Form'!$D$20</f>
        <v>0</v>
      </c>
      <c r="B869" s="3" t="s">
        <v>40</v>
      </c>
      <c r="C869" s="7"/>
      <c r="D869" s="7"/>
      <c r="E869" s="7"/>
      <c r="F869" s="7"/>
      <c r="G869" s="7"/>
      <c r="J869">
        <f>(A866+A867/12)</f>
        <v>1.3333333333333333</v>
      </c>
      <c r="K869" s="4" t="s">
        <v>41</v>
      </c>
      <c r="M869" s="22" t="s">
        <v>42</v>
      </c>
      <c r="N869" s="13">
        <v>594</v>
      </c>
      <c r="O869" s="13">
        <v>14.93</v>
      </c>
      <c r="P869" s="13">
        <v>7.1269999999999998</v>
      </c>
      <c r="Q869" s="13">
        <v>12.893000000000001</v>
      </c>
      <c r="R869" s="13">
        <v>1.345</v>
      </c>
      <c r="S869" s="13">
        <v>24.251999999999999</v>
      </c>
      <c r="T869" s="13">
        <v>9.3125</v>
      </c>
      <c r="U869" s="13">
        <v>3</v>
      </c>
      <c r="V869" s="13">
        <v>5.5</v>
      </c>
      <c r="W869" s="13">
        <v>8.8125</v>
      </c>
      <c r="X869" s="13">
        <v>29</v>
      </c>
      <c r="Y869" s="13">
        <v>9.52</v>
      </c>
      <c r="Z869" s="13">
        <v>16.670000000000002</v>
      </c>
    </row>
    <row r="870" spans="1:26" ht="12.75">
      <c r="A870" s="11">
        <v>0</v>
      </c>
      <c r="B870" s="3" t="s">
        <v>43</v>
      </c>
      <c r="C870" s="7"/>
      <c r="D870" s="7"/>
      <c r="E870" s="7"/>
      <c r="F870" s="7"/>
      <c r="G870" s="7"/>
      <c r="M870" s="21" t="s">
        <v>44</v>
      </c>
      <c r="N870">
        <v>630</v>
      </c>
      <c r="O870">
        <v>23.114999999999998</v>
      </c>
      <c r="P870">
        <v>4.8</v>
      </c>
      <c r="Q870">
        <v>15.824999999999999</v>
      </c>
      <c r="R870">
        <v>1.8160000000000001</v>
      </c>
      <c r="S870">
        <v>16.332999999999998</v>
      </c>
      <c r="T870">
        <v>9.75</v>
      </c>
      <c r="U870">
        <v>3</v>
      </c>
      <c r="V870">
        <v>5.5</v>
      </c>
      <c r="W870">
        <v>9.1875</v>
      </c>
      <c r="X870">
        <v>43</v>
      </c>
      <c r="Y870">
        <v>6.95</v>
      </c>
      <c r="Z870">
        <v>10.9</v>
      </c>
    </row>
    <row r="871" spans="1:26" ht="12.75">
      <c r="A871" s="7"/>
      <c r="B871" s="7"/>
      <c r="C871" s="7"/>
      <c r="D871" s="7"/>
      <c r="E871" s="7"/>
      <c r="F871" s="7"/>
      <c r="G871" s="7"/>
      <c r="J871">
        <f>(J863*J864/(J865+(J866*J869/2)))*(J867/J868)^2</f>
        <v>9023604.412938362</v>
      </c>
      <c r="M871" s="21" t="s">
        <v>45</v>
      </c>
      <c r="N871">
        <v>630</v>
      </c>
      <c r="O871">
        <v>23.114999999999998</v>
      </c>
      <c r="P871">
        <v>6.59</v>
      </c>
      <c r="Q871">
        <v>20.786000000000001</v>
      </c>
      <c r="R871">
        <v>1.776</v>
      </c>
      <c r="S871">
        <v>22.422000000000001</v>
      </c>
      <c r="T871">
        <v>9.75</v>
      </c>
      <c r="U871">
        <v>3</v>
      </c>
      <c r="V871">
        <v>5.5</v>
      </c>
      <c r="W871">
        <v>9.1875</v>
      </c>
      <c r="X871">
        <v>43</v>
      </c>
      <c r="Y871">
        <v>6.95</v>
      </c>
      <c r="Z871">
        <v>10.9</v>
      </c>
    </row>
    <row r="872" spans="1:26" ht="12.75">
      <c r="A872" s="12">
        <f>(J871)</f>
        <v>9023604.412938362</v>
      </c>
      <c r="B872" s="3" t="s">
        <v>46</v>
      </c>
      <c r="C872" s="7"/>
      <c r="D872" s="7"/>
      <c r="E872" s="7"/>
      <c r="F872" s="7"/>
      <c r="G872" s="7"/>
      <c r="M872" s="21" t="s">
        <v>47</v>
      </c>
      <c r="N872">
        <v>630</v>
      </c>
      <c r="O872">
        <v>23.114999999999998</v>
      </c>
      <c r="P872">
        <v>8.5050000000000008</v>
      </c>
      <c r="Q872">
        <v>25.532</v>
      </c>
      <c r="R872">
        <v>1.7330000000000001</v>
      </c>
      <c r="S872">
        <v>28.94</v>
      </c>
      <c r="T872">
        <v>9.75</v>
      </c>
      <c r="U872">
        <v>3</v>
      </c>
      <c r="V872">
        <v>5.5</v>
      </c>
      <c r="W872">
        <v>9.1875</v>
      </c>
      <c r="X872">
        <v>43</v>
      </c>
      <c r="Y872">
        <v>6.95</v>
      </c>
      <c r="Z872">
        <v>10.9</v>
      </c>
    </row>
    <row r="873" spans="1:26" ht="12.75">
      <c r="A873" s="12">
        <f>(J877)</f>
        <v>0</v>
      </c>
      <c r="B873" s="3" t="s">
        <v>48</v>
      </c>
      <c r="C873" s="7"/>
      <c r="D873" s="7"/>
      <c r="E873" s="7"/>
      <c r="F873" s="7"/>
      <c r="G873" s="7"/>
      <c r="J873" s="4" t="s">
        <v>49</v>
      </c>
      <c r="M873" s="22" t="s">
        <v>50</v>
      </c>
      <c r="N873" s="13">
        <v>234</v>
      </c>
      <c r="O873" s="13">
        <v>23.114999999999998</v>
      </c>
      <c r="P873" s="13">
        <v>10.148999999999999</v>
      </c>
      <c r="Q873" s="13">
        <v>29.140999999999998</v>
      </c>
      <c r="R873" s="13">
        <v>1.694</v>
      </c>
      <c r="S873" s="13">
        <v>34.436</v>
      </c>
      <c r="T873" s="13">
        <v>9.75</v>
      </c>
      <c r="U873" s="13">
        <v>3</v>
      </c>
      <c r="V873" s="13">
        <v>5.5</v>
      </c>
      <c r="W873" s="13">
        <v>9.1875</v>
      </c>
      <c r="X873" s="13">
        <v>43</v>
      </c>
      <c r="Y873" s="13">
        <v>6.95</v>
      </c>
      <c r="Z873" s="13">
        <v>10.9</v>
      </c>
    </row>
    <row r="874" spans="1:26" ht="12.75">
      <c r="A874" s="11">
        <f>'Estimating Form'!$D$18/12+S957</f>
        <v>2</v>
      </c>
      <c r="B874" s="3" t="s">
        <v>957</v>
      </c>
      <c r="J874">
        <f>VLOOKUP(A865,M862:Z892,IF(A870=1,13,12)+1,FALSE)</f>
        <v>0.83899999999999997</v>
      </c>
      <c r="K874" s="4" t="s">
        <v>51</v>
      </c>
      <c r="M874" s="21" t="s">
        <v>27</v>
      </c>
      <c r="N874">
        <v>630</v>
      </c>
      <c r="O874">
        <v>33.03</v>
      </c>
      <c r="P874">
        <v>5.9219999999999997</v>
      </c>
      <c r="Q874">
        <v>28.338999999999999</v>
      </c>
      <c r="R874">
        <v>2.1880000000000002</v>
      </c>
      <c r="S874">
        <v>20.149999999999999</v>
      </c>
      <c r="T874">
        <v>9.75</v>
      </c>
      <c r="U874">
        <v>3</v>
      </c>
      <c r="V874">
        <v>5.5</v>
      </c>
      <c r="W874">
        <v>9.1875</v>
      </c>
      <c r="X874">
        <v>43</v>
      </c>
      <c r="Y874">
        <v>3.41</v>
      </c>
      <c r="Z874">
        <v>5.34</v>
      </c>
    </row>
    <row r="875" spans="1:26">
      <c r="A875" s="8"/>
      <c r="B875" s="4"/>
      <c r="J875">
        <f>(A869)</f>
        <v>0</v>
      </c>
      <c r="K875" s="4" t="s">
        <v>52</v>
      </c>
      <c r="M875" s="21" t="s">
        <v>53</v>
      </c>
      <c r="N875">
        <v>630</v>
      </c>
      <c r="O875">
        <v>33.03</v>
      </c>
      <c r="P875">
        <v>9.2799999999999994</v>
      </c>
      <c r="Q875">
        <v>41.933</v>
      </c>
      <c r="R875">
        <v>2.1259999999999999</v>
      </c>
      <c r="S875">
        <v>31.579000000000001</v>
      </c>
      <c r="T875">
        <v>9.75</v>
      </c>
      <c r="U875">
        <v>3</v>
      </c>
      <c r="V875">
        <v>5.5</v>
      </c>
      <c r="W875">
        <v>9.1875</v>
      </c>
      <c r="X875">
        <v>43</v>
      </c>
      <c r="Y875">
        <v>3.41</v>
      </c>
      <c r="Z875">
        <v>5.34</v>
      </c>
    </row>
    <row r="876" spans="1:26">
      <c r="A876" s="8"/>
      <c r="B876" s="9"/>
      <c r="M876" s="21" t="s">
        <v>54</v>
      </c>
      <c r="N876">
        <v>630</v>
      </c>
      <c r="O876">
        <v>33.03</v>
      </c>
      <c r="P876">
        <v>11.898999999999999</v>
      </c>
      <c r="Q876">
        <v>51.284999999999997</v>
      </c>
      <c r="R876">
        <v>2.0760000000000001</v>
      </c>
      <c r="S876">
        <v>40.488999999999997</v>
      </c>
      <c r="T876">
        <v>9.75</v>
      </c>
      <c r="U876">
        <v>3</v>
      </c>
      <c r="V876">
        <v>5.5</v>
      </c>
      <c r="W876">
        <v>9.1875</v>
      </c>
      <c r="X876">
        <v>43</v>
      </c>
      <c r="Y876">
        <v>3.41</v>
      </c>
      <c r="Z876">
        <v>5.34</v>
      </c>
    </row>
    <row r="877" spans="1:26">
      <c r="A877" s="8"/>
      <c r="B877" s="9"/>
      <c r="J877">
        <f>(J874*(J869+4)*J875*10^-6)</f>
        <v>0</v>
      </c>
      <c r="M877" s="22" t="s">
        <v>55</v>
      </c>
      <c r="N877" s="13">
        <v>630</v>
      </c>
      <c r="O877" s="13">
        <v>33.03</v>
      </c>
      <c r="P877" s="13">
        <v>14.196</v>
      </c>
      <c r="Q877" s="13">
        <v>58.588999999999999</v>
      </c>
      <c r="R877" s="13">
        <v>2.032</v>
      </c>
      <c r="S877" s="13">
        <v>48.304000000000002</v>
      </c>
      <c r="T877" s="13">
        <v>9.75</v>
      </c>
      <c r="U877" s="13">
        <v>3</v>
      </c>
      <c r="V877" s="13">
        <v>5.5</v>
      </c>
      <c r="W877" s="13">
        <v>9.1875</v>
      </c>
      <c r="X877" s="13">
        <v>43</v>
      </c>
      <c r="Y877" s="13">
        <v>3.41</v>
      </c>
      <c r="Z877" s="13">
        <v>5.34</v>
      </c>
    </row>
    <row r="878" spans="1:26">
      <c r="A878" s="8"/>
      <c r="M878" s="21" t="s">
        <v>56</v>
      </c>
      <c r="N878">
        <v>630</v>
      </c>
      <c r="O878">
        <v>44.031999999999996</v>
      </c>
      <c r="P878">
        <v>8.109</v>
      </c>
      <c r="Q878">
        <v>51.593000000000004</v>
      </c>
      <c r="R878">
        <v>2.5219999999999998</v>
      </c>
      <c r="S878">
        <v>27.591999999999999</v>
      </c>
      <c r="T878">
        <v>10.9375</v>
      </c>
      <c r="U878">
        <v>2.5</v>
      </c>
      <c r="V878">
        <v>6</v>
      </c>
      <c r="W878">
        <v>9.9375</v>
      </c>
      <c r="X878">
        <v>61</v>
      </c>
      <c r="Y878">
        <v>3</v>
      </c>
      <c r="Z878">
        <v>4.29</v>
      </c>
    </row>
    <row r="879" spans="1:26">
      <c r="A879" s="8"/>
      <c r="B879" s="9"/>
      <c r="M879" s="21" t="s">
        <v>57</v>
      </c>
      <c r="N879">
        <v>630</v>
      </c>
      <c r="O879">
        <v>44.031999999999996</v>
      </c>
      <c r="P879">
        <v>9.4350000000000005</v>
      </c>
      <c r="Q879">
        <v>59.033999999999999</v>
      </c>
      <c r="R879">
        <v>2.5009999999999999</v>
      </c>
      <c r="S879">
        <v>32.103999999999999</v>
      </c>
      <c r="T879">
        <v>10.9375</v>
      </c>
      <c r="U879">
        <v>2.5</v>
      </c>
      <c r="V879">
        <v>6</v>
      </c>
      <c r="W879">
        <v>9.9375</v>
      </c>
      <c r="X879">
        <v>61</v>
      </c>
      <c r="Y879">
        <v>3</v>
      </c>
      <c r="Z879">
        <v>4.29</v>
      </c>
    </row>
    <row r="880" spans="1:26" ht="15.75">
      <c r="A880" s="37"/>
      <c r="B880" s="97"/>
      <c r="C880" s="515" t="s">
        <v>93</v>
      </c>
      <c r="D880" s="515"/>
      <c r="E880" s="40">
        <f>(B881-A869)/(O891)-(0.39*A866)</f>
        <v>-0.19641291210770234</v>
      </c>
      <c r="M880" s="23" t="s">
        <v>59</v>
      </c>
      <c r="N880">
        <v>630</v>
      </c>
      <c r="O880">
        <v>44.031999999999996</v>
      </c>
      <c r="P880">
        <v>14.49</v>
      </c>
      <c r="Q880">
        <v>84.834000000000003</v>
      </c>
      <c r="R880">
        <v>2.42</v>
      </c>
      <c r="S880">
        <v>49.305</v>
      </c>
      <c r="T880">
        <v>10.9375</v>
      </c>
      <c r="U880">
        <v>2.5</v>
      </c>
      <c r="V880">
        <v>6</v>
      </c>
      <c r="W880">
        <v>9.9375</v>
      </c>
      <c r="X880">
        <v>61</v>
      </c>
      <c r="Y880">
        <v>3</v>
      </c>
      <c r="Z880">
        <v>4.29</v>
      </c>
    </row>
    <row r="881" spans="1:26" ht="15.75">
      <c r="A881" s="37" t="s">
        <v>98</v>
      </c>
      <c r="B881" s="41">
        <f>A868+B885</f>
        <v>40.427999999999997</v>
      </c>
      <c r="C881" s="516" t="s">
        <v>99</v>
      </c>
      <c r="D881" s="516"/>
      <c r="E881" s="42">
        <f>((B881/(O891))*1.1)</f>
        <v>0.35594579668152748</v>
      </c>
      <c r="M881" s="24" t="s">
        <v>58</v>
      </c>
      <c r="N881" s="13">
        <v>630</v>
      </c>
      <c r="O881" s="13">
        <v>44.031999999999996</v>
      </c>
      <c r="P881" s="13">
        <v>19.181000000000001</v>
      </c>
      <c r="Q881" s="13">
        <v>105.14</v>
      </c>
      <c r="R881" s="13">
        <v>2.3410000000000002</v>
      </c>
      <c r="S881" s="13">
        <v>65.268000000000001</v>
      </c>
      <c r="T881" s="13">
        <v>10.9375</v>
      </c>
      <c r="U881" s="13">
        <v>2.5</v>
      </c>
      <c r="V881" s="13">
        <v>6</v>
      </c>
      <c r="W881" s="13">
        <v>9.9375</v>
      </c>
      <c r="X881" s="13">
        <v>61</v>
      </c>
      <c r="Y881" s="13">
        <v>3</v>
      </c>
      <c r="Z881" s="13">
        <v>4.29</v>
      </c>
    </row>
    <row r="882" spans="1:26" ht="15">
      <c r="A882" s="37"/>
      <c r="B882" s="38"/>
      <c r="C882" s="517" t="s">
        <v>106</v>
      </c>
      <c r="D882" s="514" t="str">
        <f>IF(E880&gt;90,"Good!","Too Low, increase GLOPU or decrease jack diameter, if above 50 use ASK ENGINEERING")</f>
        <v>Too Low, increase GLOPU or decrease jack diameter, if above 50 use ASK ENGINEERING</v>
      </c>
      <c r="E882" s="514"/>
      <c r="F882" s="10"/>
      <c r="M882" s="21" t="s">
        <v>60</v>
      </c>
      <c r="N882">
        <v>630</v>
      </c>
      <c r="O882">
        <v>56.578000000000003</v>
      </c>
      <c r="P882">
        <v>9.2829999999999995</v>
      </c>
      <c r="Q882">
        <v>76.736999999999995</v>
      </c>
      <c r="R882">
        <v>2.875</v>
      </c>
      <c r="S882">
        <v>31.588999999999999</v>
      </c>
      <c r="T882">
        <v>10.9375</v>
      </c>
      <c r="U882">
        <v>2.5</v>
      </c>
      <c r="V882">
        <v>6</v>
      </c>
      <c r="W882">
        <v>9.9375</v>
      </c>
      <c r="X882">
        <v>61</v>
      </c>
      <c r="Y882">
        <v>1.82</v>
      </c>
      <c r="Z882">
        <v>2.6</v>
      </c>
    </row>
    <row r="883" spans="1:26" ht="15.75" thickBot="1">
      <c r="A883" s="37"/>
      <c r="B883" s="44"/>
      <c r="C883" s="518"/>
      <c r="D883" s="519"/>
      <c r="E883" s="519"/>
      <c r="M883" s="21" t="s">
        <v>61</v>
      </c>
      <c r="N883">
        <v>630</v>
      </c>
      <c r="O883">
        <v>56.578000000000003</v>
      </c>
      <c r="P883">
        <v>10.734999999999999</v>
      </c>
      <c r="Q883">
        <v>87.494</v>
      </c>
      <c r="R883">
        <v>2.855</v>
      </c>
      <c r="S883">
        <v>36.527999999999999</v>
      </c>
      <c r="T883">
        <v>10.9375</v>
      </c>
      <c r="U883">
        <v>2.5</v>
      </c>
      <c r="V883">
        <v>6</v>
      </c>
      <c r="W883">
        <v>9.9375</v>
      </c>
      <c r="X883">
        <v>61</v>
      </c>
      <c r="Y883">
        <v>1.82</v>
      </c>
      <c r="Z883">
        <v>2.6</v>
      </c>
    </row>
    <row r="884" spans="1:26" ht="15">
      <c r="A884" s="37"/>
      <c r="B884" s="39"/>
      <c r="C884" s="512" t="s">
        <v>118</v>
      </c>
      <c r="D884" s="514" t="str">
        <f>IF(E881&gt;400,"Too High, reduce GLOPU or increase plunger diameter","Good!")</f>
        <v>Good!</v>
      </c>
      <c r="E884" s="514"/>
      <c r="M884" s="24" t="s">
        <v>70</v>
      </c>
      <c r="N884" s="13">
        <v>630</v>
      </c>
      <c r="O884" s="13">
        <v>56.578000000000003</v>
      </c>
      <c r="P884" s="13">
        <v>15.885999999999999</v>
      </c>
      <c r="Q884" s="13">
        <v>122.965</v>
      </c>
      <c r="R884" s="13">
        <v>2.782</v>
      </c>
      <c r="S884" s="13">
        <v>54.055</v>
      </c>
      <c r="T884" s="13">
        <v>10.9375</v>
      </c>
      <c r="U884" s="13">
        <v>2.5</v>
      </c>
      <c r="V884" s="13">
        <v>6</v>
      </c>
      <c r="W884" s="13">
        <v>9.9375</v>
      </c>
      <c r="X884" s="13">
        <v>61</v>
      </c>
      <c r="Y884" s="13">
        <v>1.82</v>
      </c>
      <c r="Z884" s="13">
        <v>2.6</v>
      </c>
    </row>
    <row r="885" spans="1:26" ht="15">
      <c r="A885" s="46" t="s">
        <v>122</v>
      </c>
      <c r="B885" s="96">
        <f>S866*A874</f>
        <v>40.427999999999997</v>
      </c>
      <c r="C885" s="513"/>
      <c r="D885" s="514"/>
      <c r="E885" s="514"/>
      <c r="M885" s="21" t="s">
        <v>62</v>
      </c>
      <c r="N885">
        <v>537</v>
      </c>
      <c r="O885">
        <v>70.695999999999998</v>
      </c>
      <c r="P885">
        <v>12.27</v>
      </c>
      <c r="Q885">
        <v>126.072</v>
      </c>
      <c r="R885">
        <v>3.2050000000000001</v>
      </c>
      <c r="S885">
        <v>41.75</v>
      </c>
      <c r="T885">
        <v>14.375</v>
      </c>
      <c r="U885">
        <v>2.5</v>
      </c>
      <c r="V885">
        <v>6</v>
      </c>
      <c r="W885">
        <v>12.9375</v>
      </c>
      <c r="X885">
        <v>80</v>
      </c>
      <c r="Y885">
        <v>1.66</v>
      </c>
      <c r="Z885">
        <v>2.62</v>
      </c>
    </row>
    <row r="886" spans="1:26">
      <c r="E886" s="10"/>
      <c r="F886" s="10"/>
      <c r="M886" s="22" t="s">
        <v>63</v>
      </c>
      <c r="N886" s="13">
        <v>537</v>
      </c>
      <c r="O886" s="13">
        <v>70.695999999999998</v>
      </c>
      <c r="P886" s="13">
        <v>18.847000000000001</v>
      </c>
      <c r="Q886" s="13">
        <v>183.79400000000001</v>
      </c>
      <c r="R886" s="13">
        <v>3.1230000000000002</v>
      </c>
      <c r="S886" s="13">
        <v>64.132000000000005</v>
      </c>
      <c r="T886" s="13">
        <v>14.375</v>
      </c>
      <c r="U886" s="13">
        <v>2.5</v>
      </c>
      <c r="V886" s="13">
        <v>6</v>
      </c>
      <c r="W886" s="13">
        <v>12.9375</v>
      </c>
      <c r="X886" s="13">
        <v>80</v>
      </c>
      <c r="Y886" s="13">
        <v>1.66</v>
      </c>
      <c r="Z886" s="13">
        <v>2.62</v>
      </c>
    </row>
    <row r="887" spans="1:26">
      <c r="A887" s="8"/>
      <c r="B887" s="9"/>
      <c r="M887" s="21" t="s">
        <v>64</v>
      </c>
      <c r="N887">
        <v>537</v>
      </c>
      <c r="O887">
        <v>88.456000000000003</v>
      </c>
      <c r="P887">
        <v>13.656000000000001</v>
      </c>
      <c r="Q887">
        <v>177.40799999999999</v>
      </c>
      <c r="R887">
        <v>3.6040000000000001</v>
      </c>
      <c r="S887">
        <v>46.466999999999999</v>
      </c>
      <c r="T887">
        <v>14.375</v>
      </c>
      <c r="U887">
        <v>2.5</v>
      </c>
      <c r="V887">
        <v>6</v>
      </c>
      <c r="W887">
        <v>13.3125</v>
      </c>
      <c r="X887">
        <v>80</v>
      </c>
      <c r="Y887">
        <v>1.06</v>
      </c>
      <c r="Z887">
        <v>1.67</v>
      </c>
    </row>
    <row r="888" spans="1:26">
      <c r="B888" s="9"/>
      <c r="M888" s="21" t="s">
        <v>65</v>
      </c>
      <c r="N888">
        <v>537</v>
      </c>
      <c r="O888">
        <v>88.456000000000003</v>
      </c>
      <c r="P888">
        <v>16.48</v>
      </c>
      <c r="Q888">
        <v>210.39400000000001</v>
      </c>
      <c r="R888">
        <v>3.573</v>
      </c>
      <c r="S888">
        <v>56.076999999999998</v>
      </c>
      <c r="T888">
        <v>14.375</v>
      </c>
      <c r="U888">
        <v>2.5</v>
      </c>
      <c r="V888">
        <v>6</v>
      </c>
      <c r="W888">
        <v>13.3125</v>
      </c>
      <c r="X888">
        <v>80</v>
      </c>
      <c r="Y888">
        <v>1.06</v>
      </c>
      <c r="Z888">
        <v>1.67</v>
      </c>
    </row>
    <row r="889" spans="1:26">
      <c r="B889" s="9"/>
      <c r="M889" s="22" t="s">
        <v>66</v>
      </c>
      <c r="N889" s="13">
        <v>537</v>
      </c>
      <c r="O889" s="13">
        <v>88.456000000000003</v>
      </c>
      <c r="P889" s="13">
        <v>20.350999999999999</v>
      </c>
      <c r="Q889" s="13">
        <v>253.547</v>
      </c>
      <c r="R889" s="13">
        <v>3.53</v>
      </c>
      <c r="S889" s="13">
        <v>69.248999999999995</v>
      </c>
      <c r="T889" s="13">
        <v>14.375</v>
      </c>
      <c r="U889" s="13">
        <v>2.5</v>
      </c>
      <c r="V889" s="13">
        <v>6</v>
      </c>
      <c r="W889" s="13">
        <v>13.3125</v>
      </c>
      <c r="X889" s="13">
        <v>80</v>
      </c>
      <c r="Y889" s="13">
        <v>1.06</v>
      </c>
      <c r="Z889" s="13">
        <v>1.67</v>
      </c>
    </row>
    <row r="890" spans="1:26">
      <c r="M890" s="21" t="s">
        <v>67</v>
      </c>
      <c r="N890">
        <v>449</v>
      </c>
      <c r="O890">
        <v>124.937</v>
      </c>
      <c r="P890">
        <v>16.503</v>
      </c>
      <c r="Q890">
        <v>306.48500000000001</v>
      </c>
      <c r="R890">
        <v>4.3090000000000002</v>
      </c>
      <c r="S890">
        <v>56.155999999999999</v>
      </c>
      <c r="T890">
        <v>0</v>
      </c>
      <c r="U890">
        <v>2.5</v>
      </c>
      <c r="V890">
        <v>6</v>
      </c>
      <c r="W890">
        <v>15.3125</v>
      </c>
      <c r="X890">
        <v>125</v>
      </c>
      <c r="Y890">
        <v>0.83899999999999997</v>
      </c>
      <c r="Z890">
        <v>0</v>
      </c>
    </row>
    <row r="891" spans="1:26">
      <c r="M891" s="22" t="s">
        <v>68</v>
      </c>
      <c r="N891" s="13">
        <v>449</v>
      </c>
      <c r="O891" s="13">
        <v>124.937</v>
      </c>
      <c r="P891" s="13">
        <v>18.78</v>
      </c>
      <c r="Q891" s="13">
        <v>345.36099999999999</v>
      </c>
      <c r="R891" s="13">
        <v>4.2880000000000003</v>
      </c>
      <c r="S891" s="13">
        <v>63.902999999999999</v>
      </c>
      <c r="T891" s="13">
        <v>0</v>
      </c>
      <c r="U891" s="13">
        <v>2.5</v>
      </c>
      <c r="V891" s="13">
        <v>6</v>
      </c>
      <c r="W891" s="13">
        <v>15.3125</v>
      </c>
      <c r="X891" s="13">
        <v>125</v>
      </c>
      <c r="Y891" s="13">
        <v>0.83899999999999997</v>
      </c>
      <c r="Z891" s="13">
        <v>0</v>
      </c>
    </row>
    <row r="892" spans="1:26">
      <c r="M892" s="22" t="s">
        <v>69</v>
      </c>
      <c r="N892" s="14">
        <v>449</v>
      </c>
      <c r="O892" s="14">
        <v>194.51900000000001</v>
      </c>
      <c r="P892" s="14">
        <v>25.079000000000001</v>
      </c>
      <c r="Q892" s="14">
        <v>726.36</v>
      </c>
      <c r="R892" s="14">
        <v>5.3819999999999997</v>
      </c>
      <c r="S892" s="14">
        <v>85.337000000000003</v>
      </c>
      <c r="T892" s="14">
        <v>0</v>
      </c>
      <c r="U892" s="14">
        <v>6</v>
      </c>
      <c r="V892" s="14">
        <v>6</v>
      </c>
      <c r="W892" s="14">
        <v>15.375</v>
      </c>
      <c r="X892" s="14">
        <v>192</v>
      </c>
      <c r="Y892" s="14">
        <v>0.54300000000000004</v>
      </c>
      <c r="Z892" s="14">
        <v>0</v>
      </c>
    </row>
    <row r="895" spans="1:26" ht="12.75">
      <c r="A895" s="3"/>
      <c r="B895" s="15"/>
      <c r="C895" s="16"/>
      <c r="D895" s="16"/>
      <c r="E895" s="16"/>
      <c r="F895" s="16"/>
      <c r="G895" s="20"/>
      <c r="H895" s="4" t="s">
        <v>1</v>
      </c>
      <c r="J895" s="4" t="s">
        <v>2</v>
      </c>
      <c r="M895" s="4" t="s">
        <v>3</v>
      </c>
    </row>
    <row r="896" spans="1:26" ht="12.75">
      <c r="A896" s="1"/>
      <c r="B896" s="1"/>
      <c r="C896" s="1"/>
      <c r="D896" s="1"/>
      <c r="E896" s="1"/>
      <c r="F896" s="1"/>
      <c r="G896" s="1"/>
      <c r="J896" s="5">
        <f>2.85*10^8</f>
        <v>285000000</v>
      </c>
      <c r="K896" s="4" t="s">
        <v>4</v>
      </c>
      <c r="N896" s="4" t="s">
        <v>5</v>
      </c>
      <c r="O896" s="6" t="s">
        <v>6</v>
      </c>
      <c r="P896" s="6" t="s">
        <v>7</v>
      </c>
      <c r="Q896" s="6" t="s">
        <v>8</v>
      </c>
      <c r="R896" s="6" t="s">
        <v>9</v>
      </c>
      <c r="S896" s="6" t="s">
        <v>10</v>
      </c>
      <c r="T896" s="6" t="s">
        <v>11</v>
      </c>
      <c r="U896" s="6" t="s">
        <v>11</v>
      </c>
      <c r="V896" s="6" t="s">
        <v>11</v>
      </c>
      <c r="W896" s="6" t="s">
        <v>11</v>
      </c>
      <c r="X896" s="6" t="s">
        <v>12</v>
      </c>
      <c r="Y896" s="520" t="s">
        <v>13</v>
      </c>
      <c r="Z896" s="520"/>
    </row>
    <row r="897" spans="1:26" ht="12.75">
      <c r="A897" s="1"/>
      <c r="B897" s="1"/>
      <c r="C897" s="1"/>
      <c r="D897" s="1"/>
      <c r="E897" s="1"/>
      <c r="F897" s="1"/>
      <c r="G897" s="1"/>
      <c r="J897">
        <f>VLOOKUP(A898,M895:Z925,4,FALSE)</f>
        <v>25.079000000000001</v>
      </c>
      <c r="K897" s="4" t="s">
        <v>14</v>
      </c>
      <c r="M897" s="4" t="s">
        <v>15</v>
      </c>
      <c r="N897" s="4" t="s">
        <v>16</v>
      </c>
      <c r="O897" s="6" t="s">
        <v>17</v>
      </c>
      <c r="P897" s="6" t="s">
        <v>17</v>
      </c>
      <c r="Q897" s="6" t="s">
        <v>18</v>
      </c>
      <c r="R897" s="6" t="s">
        <v>19</v>
      </c>
      <c r="S897" s="6" t="s">
        <v>20</v>
      </c>
      <c r="T897" s="6" t="s">
        <v>21</v>
      </c>
      <c r="U897" s="6" t="s">
        <v>22</v>
      </c>
      <c r="V897" s="6" t="s">
        <v>23</v>
      </c>
      <c r="W897" s="6" t="s">
        <v>24</v>
      </c>
      <c r="Y897" s="6" t="s">
        <v>25</v>
      </c>
      <c r="Z897" s="4" t="s">
        <v>26</v>
      </c>
    </row>
    <row r="898" spans="1:26" ht="12.75">
      <c r="A898" s="11" t="s">
        <v>69</v>
      </c>
      <c r="B898" s="3" t="s">
        <v>28</v>
      </c>
      <c r="C898" s="7"/>
      <c r="D898" s="7"/>
      <c r="E898" s="7"/>
      <c r="F898" s="7"/>
      <c r="G898" s="3" t="s">
        <v>1</v>
      </c>
      <c r="J898">
        <f>(A901)</f>
        <v>0</v>
      </c>
      <c r="K898" s="4" t="s">
        <v>29</v>
      </c>
      <c r="M898" s="21" t="s">
        <v>30</v>
      </c>
      <c r="N898">
        <v>492</v>
      </c>
      <c r="O898">
        <v>11.781000000000001</v>
      </c>
      <c r="P898">
        <v>2.8980000000000001</v>
      </c>
      <c r="Q898">
        <v>4.766</v>
      </c>
      <c r="R898">
        <v>1.282</v>
      </c>
      <c r="S898">
        <v>9.8620000000000001</v>
      </c>
      <c r="T898">
        <v>0</v>
      </c>
      <c r="U898">
        <v>3</v>
      </c>
      <c r="V898">
        <v>6.75</v>
      </c>
      <c r="W898">
        <v>9.375</v>
      </c>
      <c r="X898">
        <v>22</v>
      </c>
      <c r="Y898">
        <v>10.47</v>
      </c>
      <c r="Z898">
        <v>0</v>
      </c>
    </row>
    <row r="899" spans="1:26" ht="12.75">
      <c r="A899" s="319">
        <f>'Estimating Form'!$D$18/12+T956</f>
        <v>1.3333333333333333</v>
      </c>
      <c r="B899" s="3" t="s">
        <v>31</v>
      </c>
      <c r="C899" s="7"/>
      <c r="D899" s="7"/>
      <c r="E899" s="7"/>
      <c r="F899" s="7"/>
      <c r="G899" s="7"/>
      <c r="J899">
        <f>VLOOKUP(A898,M895:Z926,7,FALSE)</f>
        <v>85.337000000000003</v>
      </c>
      <c r="K899" s="4" t="s">
        <v>32</v>
      </c>
      <c r="M899" s="22" t="s">
        <v>33</v>
      </c>
      <c r="N899" s="13">
        <v>492</v>
      </c>
      <c r="O899" s="13">
        <v>11.781000000000001</v>
      </c>
      <c r="P899" s="13">
        <v>5.94</v>
      </c>
      <c r="Q899" s="13">
        <v>8.33</v>
      </c>
      <c r="R899" s="13">
        <v>1.1839999999999999</v>
      </c>
      <c r="S899" s="13">
        <v>20.213999999999999</v>
      </c>
      <c r="T899" s="13">
        <v>0</v>
      </c>
      <c r="U899" s="13">
        <v>3</v>
      </c>
      <c r="V899" s="13">
        <v>6.75</v>
      </c>
      <c r="W899" s="13">
        <v>9.375</v>
      </c>
      <c r="X899" s="13">
        <v>22</v>
      </c>
      <c r="Y899" s="13">
        <v>10.47</v>
      </c>
      <c r="Z899" s="13">
        <v>0</v>
      </c>
    </row>
    <row r="900" spans="1:26" ht="12.75">
      <c r="A900" s="11">
        <v>0</v>
      </c>
      <c r="B900" s="3" t="s">
        <v>34</v>
      </c>
      <c r="C900" s="7"/>
      <c r="D900" s="7"/>
      <c r="E900" s="7"/>
      <c r="F900" s="7"/>
      <c r="G900" s="7"/>
      <c r="J900">
        <f>VLOOKUP(A898,M895:Z925,6,FALSE)</f>
        <v>5.3819999999999997</v>
      </c>
      <c r="K900" s="4" t="s">
        <v>35</v>
      </c>
      <c r="M900" s="21" t="s">
        <v>36</v>
      </c>
      <c r="N900">
        <v>594</v>
      </c>
      <c r="O900">
        <v>14.93</v>
      </c>
      <c r="P900">
        <v>3.3490000000000002</v>
      </c>
      <c r="Q900">
        <v>7.0650000000000004</v>
      </c>
      <c r="R900">
        <v>1.452</v>
      </c>
      <c r="S900">
        <v>11.396000000000001</v>
      </c>
      <c r="T900">
        <v>9.3125</v>
      </c>
      <c r="U900">
        <v>3</v>
      </c>
      <c r="V900">
        <v>5.5</v>
      </c>
      <c r="W900">
        <v>8.8125</v>
      </c>
      <c r="X900">
        <v>29</v>
      </c>
      <c r="Y900">
        <v>9.52</v>
      </c>
      <c r="Z900">
        <v>16.670000000000002</v>
      </c>
    </row>
    <row r="901" spans="1:26" ht="12.75">
      <c r="A901" s="11">
        <f>'Estimating Form'!$G$22</f>
        <v>0</v>
      </c>
      <c r="B901" s="3" t="s">
        <v>37</v>
      </c>
      <c r="C901" s="7"/>
      <c r="D901" s="7"/>
      <c r="E901" s="7"/>
      <c r="F901" s="7"/>
      <c r="G901" s="7"/>
      <c r="J901">
        <f>(A899*12+A900)</f>
        <v>16</v>
      </c>
      <c r="K901" s="4" t="s">
        <v>38</v>
      </c>
      <c r="M901" s="21" t="s">
        <v>39</v>
      </c>
      <c r="N901">
        <v>594</v>
      </c>
      <c r="O901">
        <v>14.93</v>
      </c>
      <c r="P901">
        <v>5.5170000000000003</v>
      </c>
      <c r="Q901">
        <v>10.686999999999999</v>
      </c>
      <c r="R901">
        <v>1.3919999999999999</v>
      </c>
      <c r="S901">
        <v>18.771999999999998</v>
      </c>
      <c r="T901">
        <v>9.3125</v>
      </c>
      <c r="U901">
        <v>3</v>
      </c>
      <c r="V901">
        <v>5.5</v>
      </c>
      <c r="W901">
        <v>8.8125</v>
      </c>
      <c r="X901">
        <v>29</v>
      </c>
      <c r="Y901">
        <v>9.52</v>
      </c>
      <c r="Z901">
        <v>16.670000000000002</v>
      </c>
    </row>
    <row r="902" spans="1:26" ht="12.75">
      <c r="A902" s="11">
        <f>'Estimating Form'!$D$20</f>
        <v>0</v>
      </c>
      <c r="B902" s="3" t="s">
        <v>40</v>
      </c>
      <c r="C902" s="7"/>
      <c r="D902" s="7"/>
      <c r="E902" s="7"/>
      <c r="F902" s="7"/>
      <c r="G902" s="7"/>
      <c r="J902">
        <f>(A899+A900/12)</f>
        <v>1.3333333333333333</v>
      </c>
      <c r="K902" s="4" t="s">
        <v>41</v>
      </c>
      <c r="M902" s="22" t="s">
        <v>42</v>
      </c>
      <c r="N902" s="13">
        <v>594</v>
      </c>
      <c r="O902" s="13">
        <v>14.93</v>
      </c>
      <c r="P902" s="13">
        <v>7.1269999999999998</v>
      </c>
      <c r="Q902" s="13">
        <v>12.893000000000001</v>
      </c>
      <c r="R902" s="13">
        <v>1.345</v>
      </c>
      <c r="S902" s="13">
        <v>24.251999999999999</v>
      </c>
      <c r="T902" s="13">
        <v>9.3125</v>
      </c>
      <c r="U902" s="13">
        <v>3</v>
      </c>
      <c r="V902" s="13">
        <v>5.5</v>
      </c>
      <c r="W902" s="13">
        <v>8.8125</v>
      </c>
      <c r="X902" s="13">
        <v>29</v>
      </c>
      <c r="Y902" s="13">
        <v>9.52</v>
      </c>
      <c r="Z902" s="13">
        <v>16.670000000000002</v>
      </c>
    </row>
    <row r="903" spans="1:26" ht="12.75">
      <c r="A903" s="11">
        <v>0</v>
      </c>
      <c r="B903" s="3" t="s">
        <v>43</v>
      </c>
      <c r="C903" s="7"/>
      <c r="D903" s="7"/>
      <c r="E903" s="7"/>
      <c r="F903" s="7"/>
      <c r="G903" s="7"/>
      <c r="M903" s="21" t="s">
        <v>44</v>
      </c>
      <c r="N903">
        <v>630</v>
      </c>
      <c r="O903">
        <v>23.114999999999998</v>
      </c>
      <c r="P903">
        <v>4.8</v>
      </c>
      <c r="Q903">
        <v>15.824999999999999</v>
      </c>
      <c r="R903">
        <v>1.8160000000000001</v>
      </c>
      <c r="S903">
        <v>16.332999999999998</v>
      </c>
      <c r="T903">
        <v>9.75</v>
      </c>
      <c r="U903">
        <v>3</v>
      </c>
      <c r="V903">
        <v>5.5</v>
      </c>
      <c r="W903">
        <v>9.1875</v>
      </c>
      <c r="X903">
        <v>43</v>
      </c>
      <c r="Y903">
        <v>6.95</v>
      </c>
      <c r="Z903">
        <v>10.9</v>
      </c>
    </row>
    <row r="904" spans="1:26" ht="12.75">
      <c r="A904" s="7"/>
      <c r="B904" s="7"/>
      <c r="C904" s="7"/>
      <c r="D904" s="7"/>
      <c r="E904" s="7"/>
      <c r="F904" s="7"/>
      <c r="G904" s="7"/>
      <c r="J904">
        <f>(J896*J897/(J898+(J899*J902/2)))*(J900/J901)^2</f>
        <v>14215311.62929263</v>
      </c>
      <c r="M904" s="21" t="s">
        <v>45</v>
      </c>
      <c r="N904">
        <v>630</v>
      </c>
      <c r="O904">
        <v>23.114999999999998</v>
      </c>
      <c r="P904">
        <v>6.59</v>
      </c>
      <c r="Q904">
        <v>20.786000000000001</v>
      </c>
      <c r="R904">
        <v>1.776</v>
      </c>
      <c r="S904">
        <v>22.422000000000001</v>
      </c>
      <c r="T904">
        <v>9.75</v>
      </c>
      <c r="U904">
        <v>3</v>
      </c>
      <c r="V904">
        <v>5.5</v>
      </c>
      <c r="W904">
        <v>9.1875</v>
      </c>
      <c r="X904">
        <v>43</v>
      </c>
      <c r="Y904">
        <v>6.95</v>
      </c>
      <c r="Z904">
        <v>10.9</v>
      </c>
    </row>
    <row r="905" spans="1:26" ht="12.75">
      <c r="A905" s="12">
        <f>(J904)</f>
        <v>14215311.62929263</v>
      </c>
      <c r="B905" s="3" t="s">
        <v>46</v>
      </c>
      <c r="C905" s="7"/>
      <c r="D905" s="7"/>
      <c r="E905" s="7"/>
      <c r="F905" s="7"/>
      <c r="G905" s="7"/>
      <c r="M905" s="21" t="s">
        <v>47</v>
      </c>
      <c r="N905">
        <v>630</v>
      </c>
      <c r="O905">
        <v>23.114999999999998</v>
      </c>
      <c r="P905">
        <v>8.5050000000000008</v>
      </c>
      <c r="Q905">
        <v>25.532</v>
      </c>
      <c r="R905">
        <v>1.7330000000000001</v>
      </c>
      <c r="S905">
        <v>28.94</v>
      </c>
      <c r="T905">
        <v>9.75</v>
      </c>
      <c r="U905">
        <v>3</v>
      </c>
      <c r="V905">
        <v>5.5</v>
      </c>
      <c r="W905">
        <v>9.1875</v>
      </c>
      <c r="X905">
        <v>43</v>
      </c>
      <c r="Y905">
        <v>6.95</v>
      </c>
      <c r="Z905">
        <v>10.9</v>
      </c>
    </row>
    <row r="906" spans="1:26" ht="12.75">
      <c r="A906" s="12">
        <f>(J910)</f>
        <v>0</v>
      </c>
      <c r="B906" s="3" t="s">
        <v>48</v>
      </c>
      <c r="C906" s="7"/>
      <c r="D906" s="7"/>
      <c r="E906" s="7"/>
      <c r="F906" s="7"/>
      <c r="G906" s="7"/>
      <c r="J906" s="4" t="s">
        <v>49</v>
      </c>
      <c r="M906" s="22" t="s">
        <v>50</v>
      </c>
      <c r="N906" s="13">
        <v>234</v>
      </c>
      <c r="O906" s="13">
        <v>23.114999999999998</v>
      </c>
      <c r="P906" s="13">
        <v>10.148999999999999</v>
      </c>
      <c r="Q906" s="13">
        <v>29.140999999999998</v>
      </c>
      <c r="R906" s="13">
        <v>1.694</v>
      </c>
      <c r="S906" s="13">
        <v>34.436</v>
      </c>
      <c r="T906" s="13">
        <v>9.75</v>
      </c>
      <c r="U906" s="13">
        <v>3</v>
      </c>
      <c r="V906" s="13">
        <v>5.5</v>
      </c>
      <c r="W906" s="13">
        <v>9.1875</v>
      </c>
      <c r="X906" s="13">
        <v>43</v>
      </c>
      <c r="Y906" s="13">
        <v>6.95</v>
      </c>
      <c r="Z906" s="13">
        <v>10.9</v>
      </c>
    </row>
    <row r="907" spans="1:26" ht="12.75">
      <c r="A907" s="11">
        <f>'Estimating Form'!$D$18/12+T957</f>
        <v>2.015625</v>
      </c>
      <c r="B907" s="3" t="s">
        <v>957</v>
      </c>
      <c r="J907">
        <f>VLOOKUP(A898,M895:Z925,IF(A903=1,13,12)+1,FALSE)</f>
        <v>0.54300000000000004</v>
      </c>
      <c r="K907" s="4" t="s">
        <v>51</v>
      </c>
      <c r="M907" s="21" t="s">
        <v>27</v>
      </c>
      <c r="N907">
        <v>630</v>
      </c>
      <c r="O907">
        <v>33.03</v>
      </c>
      <c r="P907">
        <v>5.9219999999999997</v>
      </c>
      <c r="Q907">
        <v>28.338999999999999</v>
      </c>
      <c r="R907">
        <v>2.1880000000000002</v>
      </c>
      <c r="S907">
        <v>20.149999999999999</v>
      </c>
      <c r="T907">
        <v>9.75</v>
      </c>
      <c r="U907">
        <v>3</v>
      </c>
      <c r="V907">
        <v>5.5</v>
      </c>
      <c r="W907">
        <v>9.1875</v>
      </c>
      <c r="X907">
        <v>43</v>
      </c>
      <c r="Y907">
        <v>3.41</v>
      </c>
      <c r="Z907">
        <v>5.34</v>
      </c>
    </row>
    <row r="908" spans="1:26">
      <c r="A908" s="8"/>
      <c r="B908" s="4"/>
      <c r="J908">
        <f>(A902)</f>
        <v>0</v>
      </c>
      <c r="K908" s="4" t="s">
        <v>52</v>
      </c>
      <c r="M908" s="21" t="s">
        <v>53</v>
      </c>
      <c r="N908">
        <v>630</v>
      </c>
      <c r="O908">
        <v>33.03</v>
      </c>
      <c r="P908">
        <v>9.2799999999999994</v>
      </c>
      <c r="Q908">
        <v>41.933</v>
      </c>
      <c r="R908">
        <v>2.1259999999999999</v>
      </c>
      <c r="S908">
        <v>31.579000000000001</v>
      </c>
      <c r="T908">
        <v>9.75</v>
      </c>
      <c r="U908">
        <v>3</v>
      </c>
      <c r="V908">
        <v>5.5</v>
      </c>
      <c r="W908">
        <v>9.1875</v>
      </c>
      <c r="X908">
        <v>43</v>
      </c>
      <c r="Y908">
        <v>3.41</v>
      </c>
      <c r="Z908">
        <v>5.34</v>
      </c>
    </row>
    <row r="909" spans="1:26">
      <c r="A909" s="8"/>
      <c r="B909" s="9"/>
      <c r="M909" s="21" t="s">
        <v>54</v>
      </c>
      <c r="N909">
        <v>630</v>
      </c>
      <c r="O909">
        <v>33.03</v>
      </c>
      <c r="P909">
        <v>11.898999999999999</v>
      </c>
      <c r="Q909">
        <v>51.284999999999997</v>
      </c>
      <c r="R909">
        <v>2.0760000000000001</v>
      </c>
      <c r="S909">
        <v>40.488999999999997</v>
      </c>
      <c r="T909">
        <v>9.75</v>
      </c>
      <c r="U909">
        <v>3</v>
      </c>
      <c r="V909">
        <v>5.5</v>
      </c>
      <c r="W909">
        <v>9.1875</v>
      </c>
      <c r="X909">
        <v>43</v>
      </c>
      <c r="Y909">
        <v>3.41</v>
      </c>
      <c r="Z909">
        <v>5.34</v>
      </c>
    </row>
    <row r="910" spans="1:26">
      <c r="A910" s="8"/>
      <c r="B910" s="9"/>
      <c r="J910">
        <f>(J907*(J902+4)*J908*10^-6)</f>
        <v>0</v>
      </c>
      <c r="M910" s="22" t="s">
        <v>55</v>
      </c>
      <c r="N910" s="13">
        <v>630</v>
      </c>
      <c r="O910" s="13">
        <v>33.03</v>
      </c>
      <c r="P910" s="13">
        <v>14.196</v>
      </c>
      <c r="Q910" s="13">
        <v>58.588999999999999</v>
      </c>
      <c r="R910" s="13">
        <v>2.032</v>
      </c>
      <c r="S910" s="13">
        <v>48.304000000000002</v>
      </c>
      <c r="T910" s="13">
        <v>9.75</v>
      </c>
      <c r="U910" s="13">
        <v>3</v>
      </c>
      <c r="V910" s="13">
        <v>5.5</v>
      </c>
      <c r="W910" s="13">
        <v>9.1875</v>
      </c>
      <c r="X910" s="13">
        <v>43</v>
      </c>
      <c r="Y910" s="13">
        <v>3.41</v>
      </c>
      <c r="Z910" s="13">
        <v>5.34</v>
      </c>
    </row>
    <row r="911" spans="1:26">
      <c r="A911" s="8"/>
      <c r="M911" s="21" t="s">
        <v>56</v>
      </c>
      <c r="N911">
        <v>630</v>
      </c>
      <c r="O911">
        <v>44.031999999999996</v>
      </c>
      <c r="P911">
        <v>8.109</v>
      </c>
      <c r="Q911">
        <v>51.593000000000004</v>
      </c>
      <c r="R911">
        <v>2.5219999999999998</v>
      </c>
      <c r="S911">
        <v>27.591999999999999</v>
      </c>
      <c r="T911">
        <v>10.9375</v>
      </c>
      <c r="U911">
        <v>2.5</v>
      </c>
      <c r="V911">
        <v>6</v>
      </c>
      <c r="W911">
        <v>9.9375</v>
      </c>
      <c r="X911">
        <v>61</v>
      </c>
      <c r="Y911">
        <v>3</v>
      </c>
      <c r="Z911">
        <v>4.29</v>
      </c>
    </row>
    <row r="912" spans="1:26">
      <c r="A912" s="8"/>
      <c r="B912" s="9"/>
      <c r="M912" s="21" t="s">
        <v>57</v>
      </c>
      <c r="N912">
        <v>630</v>
      </c>
      <c r="O912">
        <v>44.031999999999996</v>
      </c>
      <c r="P912">
        <v>9.4350000000000005</v>
      </c>
      <c r="Q912">
        <v>59.033999999999999</v>
      </c>
      <c r="R912">
        <v>2.5009999999999999</v>
      </c>
      <c r="S912">
        <v>32.103999999999999</v>
      </c>
      <c r="T912">
        <v>10.9375</v>
      </c>
      <c r="U912">
        <v>2.5</v>
      </c>
      <c r="V912">
        <v>6</v>
      </c>
      <c r="W912">
        <v>9.9375</v>
      </c>
      <c r="X912">
        <v>61</v>
      </c>
      <c r="Y912">
        <v>3</v>
      </c>
      <c r="Z912">
        <v>4.29</v>
      </c>
    </row>
    <row r="913" spans="1:26" ht="15.75">
      <c r="A913" s="37"/>
      <c r="B913" s="97"/>
      <c r="C913" s="515" t="s">
        <v>93</v>
      </c>
      <c r="D913" s="515"/>
      <c r="E913" s="40">
        <f>(B914-A902)/(O925)-(0.39*A899)</f>
        <v>-0.3105405448825051</v>
      </c>
      <c r="M913" s="23" t="s">
        <v>59</v>
      </c>
      <c r="N913">
        <v>630</v>
      </c>
      <c r="O913">
        <v>44.031999999999996</v>
      </c>
      <c r="P913">
        <v>14.49</v>
      </c>
      <c r="Q913">
        <v>84.834000000000003</v>
      </c>
      <c r="R913">
        <v>2.42</v>
      </c>
      <c r="S913">
        <v>49.305</v>
      </c>
      <c r="T913">
        <v>10.9375</v>
      </c>
      <c r="U913">
        <v>2.5</v>
      </c>
      <c r="V913">
        <v>6</v>
      </c>
      <c r="W913">
        <v>9.9375</v>
      </c>
      <c r="X913">
        <v>61</v>
      </c>
      <c r="Y913">
        <v>3</v>
      </c>
      <c r="Z913">
        <v>4.29</v>
      </c>
    </row>
    <row r="914" spans="1:26" ht="15.75">
      <c r="A914" s="37" t="s">
        <v>98</v>
      </c>
      <c r="B914" s="41">
        <f>A901+B918</f>
        <v>40.743843749999996</v>
      </c>
      <c r="C914" s="516" t="s">
        <v>99</v>
      </c>
      <c r="D914" s="516"/>
      <c r="E914" s="42">
        <f>((B914/(O925))*1.1)</f>
        <v>0.23040540062924442</v>
      </c>
      <c r="M914" s="24" t="s">
        <v>58</v>
      </c>
      <c r="N914" s="13">
        <v>630</v>
      </c>
      <c r="O914" s="13">
        <v>44.031999999999996</v>
      </c>
      <c r="P914" s="13">
        <v>19.181000000000001</v>
      </c>
      <c r="Q914" s="13">
        <v>105.14</v>
      </c>
      <c r="R914" s="13">
        <v>2.3410000000000002</v>
      </c>
      <c r="S914" s="13">
        <v>65.268000000000001</v>
      </c>
      <c r="T914" s="13">
        <v>10.9375</v>
      </c>
      <c r="U914" s="13">
        <v>2.5</v>
      </c>
      <c r="V914" s="13">
        <v>6</v>
      </c>
      <c r="W914" s="13">
        <v>9.9375</v>
      </c>
      <c r="X914" s="13">
        <v>61</v>
      </c>
      <c r="Y914" s="13">
        <v>3</v>
      </c>
      <c r="Z914" s="13">
        <v>4.29</v>
      </c>
    </row>
    <row r="915" spans="1:26" ht="15">
      <c r="A915" s="37"/>
      <c r="B915" s="38"/>
      <c r="C915" s="517" t="s">
        <v>106</v>
      </c>
      <c r="D915" s="514" t="str">
        <f>IF(E913&gt;90,"Good!","Too Low, increase GLOPU or decrease jack diameter, if above 50 use ASK ENGINEERING")</f>
        <v>Too Low, increase GLOPU or decrease jack diameter, if above 50 use ASK ENGINEERING</v>
      </c>
      <c r="E915" s="514"/>
      <c r="F915" s="10"/>
      <c r="M915" s="21" t="s">
        <v>60</v>
      </c>
      <c r="N915">
        <v>630</v>
      </c>
      <c r="O915">
        <v>56.578000000000003</v>
      </c>
      <c r="P915">
        <v>9.2829999999999995</v>
      </c>
      <c r="Q915">
        <v>76.736999999999995</v>
      </c>
      <c r="R915">
        <v>2.875</v>
      </c>
      <c r="S915">
        <v>31.588999999999999</v>
      </c>
      <c r="T915">
        <v>10.9375</v>
      </c>
      <c r="U915">
        <v>2.5</v>
      </c>
      <c r="V915">
        <v>6</v>
      </c>
      <c r="W915">
        <v>9.9375</v>
      </c>
      <c r="X915">
        <v>61</v>
      </c>
      <c r="Y915">
        <v>1.82</v>
      </c>
      <c r="Z915">
        <v>2.6</v>
      </c>
    </row>
    <row r="916" spans="1:26" ht="15.75" thickBot="1">
      <c r="A916" s="37"/>
      <c r="B916" s="44"/>
      <c r="C916" s="518"/>
      <c r="D916" s="519"/>
      <c r="E916" s="519"/>
      <c r="M916" s="21" t="s">
        <v>61</v>
      </c>
      <c r="N916">
        <v>630</v>
      </c>
      <c r="O916">
        <v>56.578000000000003</v>
      </c>
      <c r="P916">
        <v>10.734999999999999</v>
      </c>
      <c r="Q916">
        <v>87.494</v>
      </c>
      <c r="R916">
        <v>2.855</v>
      </c>
      <c r="S916">
        <v>36.527999999999999</v>
      </c>
      <c r="T916">
        <v>10.9375</v>
      </c>
      <c r="U916">
        <v>2.5</v>
      </c>
      <c r="V916">
        <v>6</v>
      </c>
      <c r="W916">
        <v>9.9375</v>
      </c>
      <c r="X916">
        <v>61</v>
      </c>
      <c r="Y916">
        <v>1.82</v>
      </c>
      <c r="Z916">
        <v>2.6</v>
      </c>
    </row>
    <row r="917" spans="1:26" ht="15">
      <c r="A917" s="37"/>
      <c r="B917" s="39"/>
      <c r="C917" s="512" t="s">
        <v>118</v>
      </c>
      <c r="D917" s="514" t="str">
        <f>IF(E914&gt;400,"Too High, reduce GLOPU or increase plunger diameter","Good!")</f>
        <v>Good!</v>
      </c>
      <c r="E917" s="514"/>
      <c r="M917" s="24" t="s">
        <v>70</v>
      </c>
      <c r="N917" s="13">
        <v>630</v>
      </c>
      <c r="O917" s="13">
        <v>56.578000000000003</v>
      </c>
      <c r="P917" s="13">
        <v>15.885999999999999</v>
      </c>
      <c r="Q917" s="13">
        <v>122.965</v>
      </c>
      <c r="R917" s="13">
        <v>2.782</v>
      </c>
      <c r="S917" s="13">
        <v>54.055</v>
      </c>
      <c r="T917" s="13">
        <v>10.9375</v>
      </c>
      <c r="U917" s="13">
        <v>2.5</v>
      </c>
      <c r="V917" s="13">
        <v>6</v>
      </c>
      <c r="W917" s="13">
        <v>9.9375</v>
      </c>
      <c r="X917" s="13">
        <v>61</v>
      </c>
      <c r="Y917" s="13">
        <v>1.82</v>
      </c>
      <c r="Z917" s="13">
        <v>2.6</v>
      </c>
    </row>
    <row r="918" spans="1:26" ht="15">
      <c r="A918" s="46" t="s">
        <v>122</v>
      </c>
      <c r="B918" s="96">
        <f>S899*A907</f>
        <v>40.743843749999996</v>
      </c>
      <c r="C918" s="513"/>
      <c r="D918" s="514"/>
      <c r="E918" s="514"/>
      <c r="M918" s="21" t="s">
        <v>62</v>
      </c>
      <c r="N918">
        <v>537</v>
      </c>
      <c r="O918">
        <v>70.695999999999998</v>
      </c>
      <c r="P918">
        <v>12.27</v>
      </c>
      <c r="Q918">
        <v>126.072</v>
      </c>
      <c r="R918">
        <v>3.2050000000000001</v>
      </c>
      <c r="S918">
        <v>41.75</v>
      </c>
      <c r="T918">
        <v>14.375</v>
      </c>
      <c r="U918">
        <v>2.5</v>
      </c>
      <c r="V918">
        <v>6</v>
      </c>
      <c r="W918">
        <v>12.9375</v>
      </c>
      <c r="X918">
        <v>80</v>
      </c>
      <c r="Y918">
        <v>1.66</v>
      </c>
      <c r="Z918">
        <v>2.62</v>
      </c>
    </row>
    <row r="919" spans="1:26">
      <c r="E919" s="10"/>
      <c r="F919" s="10"/>
      <c r="M919" s="22" t="s">
        <v>63</v>
      </c>
      <c r="N919" s="13">
        <v>537</v>
      </c>
      <c r="O919" s="13">
        <v>70.695999999999998</v>
      </c>
      <c r="P919" s="13">
        <v>18.847000000000001</v>
      </c>
      <c r="Q919" s="13">
        <v>183.79400000000001</v>
      </c>
      <c r="R919" s="13">
        <v>3.1230000000000002</v>
      </c>
      <c r="S919" s="13">
        <v>64.132000000000005</v>
      </c>
      <c r="T919" s="13">
        <v>14.375</v>
      </c>
      <c r="U919" s="13">
        <v>2.5</v>
      </c>
      <c r="V919" s="13">
        <v>6</v>
      </c>
      <c r="W919" s="13">
        <v>12.9375</v>
      </c>
      <c r="X919" s="13">
        <v>80</v>
      </c>
      <c r="Y919" s="13">
        <v>1.66</v>
      </c>
      <c r="Z919" s="13">
        <v>2.62</v>
      </c>
    </row>
    <row r="920" spans="1:26">
      <c r="A920" s="8"/>
      <c r="B920" s="9"/>
      <c r="M920" s="21" t="s">
        <v>64</v>
      </c>
      <c r="N920">
        <v>537</v>
      </c>
      <c r="O920">
        <v>88.456000000000003</v>
      </c>
      <c r="P920">
        <v>13.656000000000001</v>
      </c>
      <c r="Q920">
        <v>177.40799999999999</v>
      </c>
      <c r="R920">
        <v>3.6040000000000001</v>
      </c>
      <c r="S920">
        <v>46.466999999999999</v>
      </c>
      <c r="T920">
        <v>14.375</v>
      </c>
      <c r="U920">
        <v>2.5</v>
      </c>
      <c r="V920">
        <v>6</v>
      </c>
      <c r="W920">
        <v>13.3125</v>
      </c>
      <c r="X920">
        <v>80</v>
      </c>
      <c r="Y920">
        <v>1.06</v>
      </c>
      <c r="Z920">
        <v>1.67</v>
      </c>
    </row>
    <row r="921" spans="1:26">
      <c r="B921" s="9"/>
      <c r="M921" s="21" t="s">
        <v>65</v>
      </c>
      <c r="N921">
        <v>537</v>
      </c>
      <c r="O921">
        <v>88.456000000000003</v>
      </c>
      <c r="P921">
        <v>16.48</v>
      </c>
      <c r="Q921">
        <v>210.39400000000001</v>
      </c>
      <c r="R921">
        <v>3.573</v>
      </c>
      <c r="S921">
        <v>56.076999999999998</v>
      </c>
      <c r="T921">
        <v>14.375</v>
      </c>
      <c r="U921">
        <v>2.5</v>
      </c>
      <c r="V921">
        <v>6</v>
      </c>
      <c r="W921">
        <v>13.3125</v>
      </c>
      <c r="X921">
        <v>80</v>
      </c>
      <c r="Y921">
        <v>1.06</v>
      </c>
      <c r="Z921">
        <v>1.67</v>
      </c>
    </row>
    <row r="922" spans="1:26">
      <c r="B922" s="9"/>
      <c r="M922" s="22" t="s">
        <v>66</v>
      </c>
      <c r="N922" s="13">
        <v>537</v>
      </c>
      <c r="O922" s="13">
        <v>88.456000000000003</v>
      </c>
      <c r="P922" s="13">
        <v>20.350999999999999</v>
      </c>
      <c r="Q922" s="13">
        <v>253.547</v>
      </c>
      <c r="R922" s="13">
        <v>3.53</v>
      </c>
      <c r="S922" s="13">
        <v>69.248999999999995</v>
      </c>
      <c r="T922" s="13">
        <v>14.375</v>
      </c>
      <c r="U922" s="13">
        <v>2.5</v>
      </c>
      <c r="V922" s="13">
        <v>6</v>
      </c>
      <c r="W922" s="13">
        <v>13.3125</v>
      </c>
      <c r="X922" s="13">
        <v>80</v>
      </c>
      <c r="Y922" s="13">
        <v>1.06</v>
      </c>
      <c r="Z922" s="13">
        <v>1.67</v>
      </c>
    </row>
    <row r="923" spans="1:26">
      <c r="M923" s="21" t="s">
        <v>67</v>
      </c>
      <c r="N923">
        <v>449</v>
      </c>
      <c r="O923">
        <v>124.937</v>
      </c>
      <c r="P923">
        <v>16.503</v>
      </c>
      <c r="Q923">
        <v>306.48500000000001</v>
      </c>
      <c r="R923">
        <v>4.3090000000000002</v>
      </c>
      <c r="S923">
        <v>56.155999999999999</v>
      </c>
      <c r="T923">
        <v>0</v>
      </c>
      <c r="U923">
        <v>2.5</v>
      </c>
      <c r="V923">
        <v>6</v>
      </c>
      <c r="W923">
        <v>15.3125</v>
      </c>
      <c r="X923">
        <v>125</v>
      </c>
      <c r="Y923">
        <v>0.83899999999999997</v>
      </c>
      <c r="Z923">
        <v>0</v>
      </c>
    </row>
    <row r="924" spans="1:26">
      <c r="M924" s="22" t="s">
        <v>68</v>
      </c>
      <c r="N924" s="13">
        <v>449</v>
      </c>
      <c r="O924" s="13">
        <v>124.937</v>
      </c>
      <c r="P924" s="13">
        <v>18.78</v>
      </c>
      <c r="Q924" s="13">
        <v>345.36099999999999</v>
      </c>
      <c r="R924" s="13">
        <v>4.2880000000000003</v>
      </c>
      <c r="S924" s="13">
        <v>63.902999999999999</v>
      </c>
      <c r="T924" s="13">
        <v>0</v>
      </c>
      <c r="U924" s="13">
        <v>2.5</v>
      </c>
      <c r="V924" s="13">
        <v>6</v>
      </c>
      <c r="W924" s="13">
        <v>15.3125</v>
      </c>
      <c r="X924" s="13">
        <v>125</v>
      </c>
      <c r="Y924" s="13">
        <v>0.83899999999999997</v>
      </c>
      <c r="Z924" s="13">
        <v>0</v>
      </c>
    </row>
    <row r="925" spans="1:26">
      <c r="D925" s="101" t="s">
        <v>437</v>
      </c>
      <c r="I925" s="101"/>
      <c r="M925" s="22" t="s">
        <v>69</v>
      </c>
      <c r="N925" s="14">
        <v>449</v>
      </c>
      <c r="O925" s="14">
        <v>194.51900000000001</v>
      </c>
      <c r="P925" s="14">
        <v>25.079000000000001</v>
      </c>
      <c r="Q925" s="14">
        <v>726.36</v>
      </c>
      <c r="R925" s="14">
        <v>5.3819999999999997</v>
      </c>
      <c r="S925" s="14">
        <v>85.337000000000003</v>
      </c>
      <c r="T925" s="14">
        <v>0</v>
      </c>
      <c r="U925" s="14">
        <v>6</v>
      </c>
      <c r="V925" s="14">
        <v>6</v>
      </c>
      <c r="W925" s="14">
        <v>15.375</v>
      </c>
      <c r="X925" s="14">
        <v>192</v>
      </c>
      <c r="Y925" s="14">
        <v>0.54300000000000004</v>
      </c>
      <c r="Z925" s="14">
        <v>0</v>
      </c>
    </row>
    <row r="928" spans="1:26">
      <c r="K928" s="106" t="s">
        <v>439</v>
      </c>
      <c r="L928" s="106" t="s">
        <v>441</v>
      </c>
      <c r="M928" s="106" t="s">
        <v>440</v>
      </c>
      <c r="N928" s="106" t="s">
        <v>445</v>
      </c>
      <c r="O928" s="106" t="s">
        <v>444</v>
      </c>
      <c r="P928" s="106" t="s">
        <v>510</v>
      </c>
      <c r="Q928" s="106" t="s">
        <v>517</v>
      </c>
      <c r="R928" s="23" t="s">
        <v>500</v>
      </c>
      <c r="S928" s="106" t="s">
        <v>502</v>
      </c>
      <c r="T928" s="106" t="s">
        <v>511</v>
      </c>
      <c r="U928" s="106" t="s">
        <v>516</v>
      </c>
    </row>
    <row r="929" spans="4:21">
      <c r="D929" s="25" t="str">
        <f>IF('Estimating Form'!D26="Passenger",IF(JAXSAFAC!$A$14&gt;=3,IF(JAXSAFAC!$A$15&lt;=1,"3S-SW",""),""),IF(JAXSAFAC!$A$14&gt;=3,IF(JAXSAFAC!$A$15&lt;=1.5,"3S-SW",""),""))</f>
        <v>3S-SW</v>
      </c>
      <c r="E929" s="98" t="str">
        <f>IF(D929="","",IF(D24="Good!",IF(D26="Good!",D929,""),""))</f>
        <v/>
      </c>
      <c r="F929" s="142">
        <f>J8*('Estimating Form'!$D$18/12+$K$957)</f>
        <v>17.463958333333334</v>
      </c>
      <c r="I929" s="25" t="str">
        <f>IF('Estimating Form'!D26="Passenger",IF(JAXSAFAC!$A$14&gt;=3,IF(JAXSAFAC!$A$15&lt;=1,"3S-SW",""),""),IF(JAXSAFAC!$A$14&gt;=3,IF(JAXSAFAC!$A$15&lt;=1.5,"3S-SW",""),""))</f>
        <v>3S-SW</v>
      </c>
      <c r="J929" s="98" t="str">
        <f>IF(I929="","",IF($D$24="Good!",IF($D$26="Good!",$I$929,""),""))</f>
        <v/>
      </c>
      <c r="K929" s="190">
        <v>3.8730000000000002</v>
      </c>
      <c r="L929" s="190">
        <v>0.255</v>
      </c>
      <c r="M929" s="190">
        <v>5.5625</v>
      </c>
      <c r="N929" s="190">
        <v>6.25</v>
      </c>
      <c r="O929" s="190">
        <v>7.5</v>
      </c>
      <c r="P929" s="190">
        <v>8.625</v>
      </c>
      <c r="Q929" s="190">
        <v>10.875</v>
      </c>
      <c r="R929" s="189" t="s">
        <v>501</v>
      </c>
      <c r="S929" s="189" t="s">
        <v>501</v>
      </c>
      <c r="T929" s="189" t="s">
        <v>501</v>
      </c>
      <c r="U929" s="189" t="s">
        <v>501</v>
      </c>
    </row>
    <row r="930" spans="4:21">
      <c r="D930" s="26" t="str">
        <f>IF('Estimating Form'!FD26="Passenger",IF(JAXSAFAC!$A$47&gt;=3,IF(JAXSAFAC!$A$48&lt;=1,"3S-HW",""),""),IF(JAXSAFAC!$A$47&gt;=3,IF(JAXSAFAC!$A$48&lt;=1.5,"3S-HW",""),""))</f>
        <v>3S-HW</v>
      </c>
      <c r="E930" s="99" t="str">
        <f>IF(D930="","",IF(D57="Good!",IF(D59="Good!",D930,""),""))</f>
        <v/>
      </c>
      <c r="F930" s="142">
        <f>J41*('Estimating Form'!$D$18/12+$K$957)</f>
        <v>35.795624999999994</v>
      </c>
      <c r="I930" s="26" t="str">
        <f>IF('Estimating Form'!D26="Passenger",IF(JAXSAFAC!$A$47&gt;=3,IF(JAXSAFAC!$A$48&lt;=1,"3S-HW",""),""),IF(JAXSAFAC!$A$47&gt;=3,IF(JAXSAFAC!$A$48&lt;=1.5,"3S-HW",""),""))</f>
        <v>3S-HW</v>
      </c>
      <c r="J930" s="99" t="str">
        <f>IF(I930="","",IF($D$57="Good!",IF($D$59="Good!",$I$930,""),""))</f>
        <v/>
      </c>
      <c r="K930" s="190">
        <v>3.8730000000000002</v>
      </c>
      <c r="L930" s="190">
        <v>0.57299999999999995</v>
      </c>
      <c r="M930" s="190">
        <v>5.5625</v>
      </c>
      <c r="N930" s="190">
        <v>6.25</v>
      </c>
      <c r="O930" s="190">
        <v>7.5</v>
      </c>
      <c r="P930" s="190">
        <v>8.625</v>
      </c>
      <c r="Q930" s="190">
        <v>10.875</v>
      </c>
      <c r="R930" s="189" t="s">
        <v>501</v>
      </c>
      <c r="S930" s="189" t="s">
        <v>501</v>
      </c>
      <c r="T930" s="189" t="s">
        <v>501</v>
      </c>
      <c r="U930" s="189" t="s">
        <v>501</v>
      </c>
    </row>
    <row r="931" spans="4:21">
      <c r="D931" s="26" t="str">
        <f>IF('Estimating Form'!D26="Passenger",IF(JAXSAFAC!$A$80&gt;=3,IF(JAXSAFAC!$A$81&lt;=1,"4S-SW",""),""),IF(JAXSAFAC!$A$80&gt;=3,IF(JAXSAFAC!$A$81&lt;=1.5,"4S-SW",""),""))</f>
        <v>4S-SW</v>
      </c>
      <c r="E931" s="99" t="str">
        <f>IF(D931="","",IF(D90="Good!",IF(D92="Good!",D931,""),""))</f>
        <v/>
      </c>
      <c r="F931" s="142">
        <f>J74*('Estimating Form'!$D$18/12+$L$957)</f>
        <v>20.180416666666666</v>
      </c>
      <c r="I931" s="26" t="str">
        <f>IF('Estimating Form'!D26="Passenger",IF(JAXSAFAC!$A$80&gt;=3,IF(JAXSAFAC!$A$81&lt;=1,"4S-SW",""),""),IF(JAXSAFAC!$A$80&gt;=3,IF(JAXSAFAC!$A$81&lt;=1.5,"4S-SW",""),""))</f>
        <v>4S-SW</v>
      </c>
      <c r="J931" s="99" t="str">
        <f>IF(I931="","",IF($D$90="Good!",IF($D$92="Good!",$I$931,""),""))</f>
        <v/>
      </c>
      <c r="K931" s="190">
        <v>4.3600000000000003</v>
      </c>
      <c r="L931" s="190">
        <v>0.26</v>
      </c>
      <c r="M931" s="190">
        <v>6.625</v>
      </c>
      <c r="N931" s="190">
        <v>7.5</v>
      </c>
      <c r="O931" s="190">
        <v>10.25</v>
      </c>
      <c r="P931" s="190">
        <v>10.75</v>
      </c>
      <c r="Q931" s="190">
        <v>12.75</v>
      </c>
      <c r="R931" s="190">
        <v>8.625</v>
      </c>
      <c r="S931" s="190">
        <v>9.625</v>
      </c>
      <c r="T931" s="190">
        <v>12.75</v>
      </c>
      <c r="U931" s="190">
        <v>14</v>
      </c>
    </row>
    <row r="932" spans="4:21">
      <c r="D932" s="26" t="str">
        <f>IF('Estimating Form'!D26="Passenger",IF(JAXSAFAC!$A$113&gt;=3,IF(JAXSAFAC!$A$114&lt;=1,"4S-HW",""),""),IF(JAXSAFAC!$A$113&gt;=3,IF(JAXSAFAC!$A$114&lt;=1.5,"4S-HW",""),""))</f>
        <v>4S-HW</v>
      </c>
      <c r="E932" s="99" t="str">
        <f>IF(D932="","",IF(D123="Good!",IF(D125="Good!",D932,""),""))</f>
        <v/>
      </c>
      <c r="F932" s="142">
        <f>J107*('Estimating Form'!$D$18/12+$L$957)</f>
        <v>33.242083333333326</v>
      </c>
      <c r="I932" s="26" t="str">
        <f>IF('Estimating Form'!D26="Passenger",IF(JAXSAFAC!$A$113&gt;=3,IF(JAXSAFAC!$A$114&lt;=1,"4S-HW",""),""),IF(JAXSAFAC!$A$113&gt;=3,IF(JAXSAFAC!$A$114&lt;=1.5,"4S-HW",""),""))</f>
        <v>4S-HW</v>
      </c>
      <c r="J932" s="99" t="str">
        <f>IF(I932="","",IF($D$123="Good!",IF($D$125="Good!",$I$932,""),""))</f>
        <v/>
      </c>
      <c r="K932" s="190">
        <v>4.3600000000000003</v>
      </c>
      <c r="L932" s="190">
        <v>0.44900000000000001</v>
      </c>
      <c r="M932" s="190">
        <v>6.625</v>
      </c>
      <c r="N932" s="190">
        <v>7.5</v>
      </c>
      <c r="O932" s="190">
        <v>10.25</v>
      </c>
      <c r="P932" s="190">
        <v>10.75</v>
      </c>
      <c r="Q932" s="190">
        <v>12.75</v>
      </c>
      <c r="R932" s="190">
        <v>8.625</v>
      </c>
      <c r="S932" s="190">
        <v>9.625</v>
      </c>
      <c r="T932" s="190">
        <v>12.75</v>
      </c>
      <c r="U932" s="190">
        <v>14</v>
      </c>
    </row>
    <row r="933" spans="4:21">
      <c r="D933" s="26" t="str">
        <f>IF('Estimating Form'!D26="Passenger",IF(JAXSAFAC!$A$146&gt;=3,IF(JAXSAFAC!$A$147&lt;=1,"4S-EHW",""),""),IF(JAXSAFAC!$A$146&gt;=3,IF(JAXSAFAC!$A$147&lt;=1.5,"4S-EHW",""),""))</f>
        <v>4S-EHW</v>
      </c>
      <c r="E933" s="99" t="str">
        <f>IF(D933="","",IF(D156="Good!",IF(D158="Good!",D933,""),""))</f>
        <v/>
      </c>
      <c r="F933" s="142">
        <f>J140*('Estimating Form'!$D$18/12+$L$957)</f>
        <v>42.946249999999999</v>
      </c>
      <c r="I933" s="26" t="str">
        <f>IF('Estimating Form'!D26="Passenger",IF(JAXSAFAC!$A$179&gt;=3,IF(JAXSAFAC!$A$180&lt;=1,"5S-SW",""),""),IF(JAXSAFAC!$A$179&gt;=3,IF(JAXSAFAC!$A$180&lt;=1.5,"5S-SW",""),""))</f>
        <v>5S-SW</v>
      </c>
      <c r="J933" s="99" t="str">
        <f>IF(I933="","",IF($D$189="Good!",IF($D$191="Good!",$I$933,""),""))</f>
        <v/>
      </c>
      <c r="K933" s="190">
        <v>5.4249999999999998</v>
      </c>
      <c r="L933" s="190">
        <v>0.29799999999999999</v>
      </c>
      <c r="M933" s="190">
        <v>8.625</v>
      </c>
      <c r="N933" s="190">
        <v>9.625</v>
      </c>
      <c r="O933" s="190">
        <v>12.25</v>
      </c>
      <c r="P933" s="190">
        <v>12.75</v>
      </c>
      <c r="Q933" s="190">
        <v>14</v>
      </c>
      <c r="R933" s="190">
        <v>10.75</v>
      </c>
      <c r="S933" s="190">
        <v>12</v>
      </c>
      <c r="T933" s="190">
        <v>14</v>
      </c>
      <c r="U933" s="190">
        <v>16</v>
      </c>
    </row>
    <row r="934" spans="4:21">
      <c r="D934" s="26" t="str">
        <f>IF('Estimating Form'!D26="Passenger",IF(JAXSAFAC!$A$179&gt;=3,IF(JAXSAFAC!$A$180&lt;=1,"5S-SW",""),""),IF(JAXSAFAC!$A$179&gt;=3,IF(JAXSAFAC!$A$180&lt;=1.5,"5S-SW",""),""))</f>
        <v>5S-SW</v>
      </c>
      <c r="E934" s="99" t="str">
        <f>IF(D934="","",IF(D189="Good!",IF(D191="Good!",D934,""),""))</f>
        <v/>
      </c>
      <c r="F934" s="142">
        <f>J173*('Estimating Form'!$D$18/12+$M$957)</f>
        <v>28.923020833333329</v>
      </c>
      <c r="I934" s="26" t="str">
        <f>IF('Estimating Form'!D26="Passenger",IF(JAXSAFAC!$A$212&gt;=3,IF(JAXSAFAC!$A$213&lt;=1,"5S-HW",""),""),IF(JAXSAFAC!$A$212&gt;=3,IF(JAXSAFAC!$A$213&lt;=1.5,"5S-HW",""),""))</f>
        <v>5S-HW</v>
      </c>
      <c r="J934" s="99" t="str">
        <f>IF(I934="","",IF($D$222="Good!",IF($D$224="Good!",$I$934,""),""))</f>
        <v/>
      </c>
      <c r="K934" s="190">
        <v>5.4249999999999998</v>
      </c>
      <c r="L934" s="190">
        <v>0.41899999999999998</v>
      </c>
      <c r="M934" s="190">
        <v>8.625</v>
      </c>
      <c r="N934" s="190">
        <v>9.625</v>
      </c>
      <c r="O934" s="190">
        <v>12.25</v>
      </c>
      <c r="P934" s="190">
        <v>12.75</v>
      </c>
      <c r="Q934" s="190">
        <v>14</v>
      </c>
      <c r="R934" s="190">
        <v>10.75</v>
      </c>
      <c r="S934" s="190">
        <v>12</v>
      </c>
      <c r="T934" s="190">
        <v>14</v>
      </c>
      <c r="U934" s="190">
        <v>16</v>
      </c>
    </row>
    <row r="935" spans="4:21">
      <c r="D935" s="26" t="str">
        <f>IF('Estimating Form'!D26="Passenger",IF(JAXSAFAC!$A$212&gt;=3,IF(JAXSAFAC!$A$213&lt;=1,"5S-HW",""),""),IF(JAXSAFAC!$A$212&gt;=3,IF(JAXSAFAC!$A$213&lt;=1.5,"5S-HW",""),""))</f>
        <v>5S-HW</v>
      </c>
      <c r="E935" s="99" t="str">
        <f>IF(D935="","",IF(D222="Good!",IF(D224="Good!",D935,""),""))</f>
        <v/>
      </c>
      <c r="F935" s="142">
        <f>J206*('Estimating Form'!$D$18/12+$M$957)</f>
        <v>39.705624999999998</v>
      </c>
      <c r="I935" s="26" t="str">
        <f>IF('Estimating Form'!D26="Passenger",IF(JAXSAFAC!$A$311&gt;=3,IF(JAXSAFAC!$A$312&lt;=1,"6S-SW",""),""),IF(JAXSAFAC!$A$311&gt;=3,IF(JAXSAFAC!$A$312&lt;=1.5,"6S-SW",""),""))</f>
        <v>6S-SW</v>
      </c>
      <c r="J935" s="99" t="str">
        <f>IF(I935="","",IF($D$321="Good!",IF($D$323="Good!",$I$935,""),""))</f>
        <v/>
      </c>
      <c r="K935" s="190">
        <v>6.4850000000000003</v>
      </c>
      <c r="L935" s="190">
        <v>0.30499999999999999</v>
      </c>
      <c r="M935" s="190">
        <v>8.625</v>
      </c>
      <c r="N935" s="190">
        <v>9.625</v>
      </c>
      <c r="O935" s="190">
        <v>12.25</v>
      </c>
      <c r="P935" s="190">
        <v>12.75</v>
      </c>
      <c r="Q935" s="190">
        <v>14</v>
      </c>
      <c r="R935" s="190">
        <v>10.75</v>
      </c>
      <c r="S935" s="190">
        <v>12</v>
      </c>
      <c r="T935" s="190">
        <v>14</v>
      </c>
      <c r="U935" s="190">
        <v>16</v>
      </c>
    </row>
    <row r="936" spans="4:21">
      <c r="D936" s="26" t="str">
        <f>IF('Estimating Form'!D26="Passenger",IF(JAXSAFAC!$A$245&gt;=3,IF(JAXSAFAC!$A$246&lt;=1,"5S-EHW",""),""),IF(JAXSAFAC!$A$245&gt;=3,IF(JAXSAFAC!$A$246&lt;=1.5,"5S-EHW",""),""))</f>
        <v>5S-EHW</v>
      </c>
      <c r="E936" s="99" t="str">
        <f>IF(D936="","",IF(D255="Good!",IF(D257="Good!",D936,""),""))</f>
        <v/>
      </c>
      <c r="F936" s="142">
        <f>J239*('Estimating Form'!$D$18/12+$M$957)</f>
        <v>51.247916666666669</v>
      </c>
      <c r="I936" s="26" t="str">
        <f>IF('Estimating Form'!D26="Passenger",IF(JAXSAFAC!$A$344&gt;=3,IF(JAXSAFAC!$A$345&lt;=1,"6S-HW",""),""),IF(JAXSAFAC!$A$344&gt;=3,IF(JAXSAFAC!$A$345&lt;=1.5,"6S-HW",""),""))</f>
        <v>6S-HW</v>
      </c>
      <c r="J936" s="99" t="str">
        <f>IF(I936="","",IF($D$354="Good!",IF($D$356="Good!",$I$936,""),""))</f>
        <v/>
      </c>
      <c r="K936" s="190">
        <v>6.4850000000000003</v>
      </c>
      <c r="L936" s="190">
        <v>0.49299999999999999</v>
      </c>
      <c r="M936" s="190">
        <v>8.625</v>
      </c>
      <c r="N936" s="190">
        <v>9.625</v>
      </c>
      <c r="O936" s="190">
        <v>12.25</v>
      </c>
      <c r="P936" s="190">
        <v>12.75</v>
      </c>
      <c r="Q936" s="190">
        <v>14</v>
      </c>
      <c r="R936" s="190">
        <v>10.75</v>
      </c>
      <c r="S936" s="190">
        <v>12</v>
      </c>
      <c r="T936" s="190">
        <v>14</v>
      </c>
      <c r="U936" s="190">
        <v>16</v>
      </c>
    </row>
    <row r="937" spans="4:21">
      <c r="D937" s="26" t="str">
        <f>IF('Estimating Form'!D26="Passenger",IF(JAXSAFAC!$A$278&gt;=3,IF(JAXSAFAC!$A$279&lt;=1,"5S-SHW",""),""),IF(JAXSAFAC!$A$278&gt;=3,IF(JAXSAFAC!$A$279&lt;=1.5,"5S-SHW",""),""))</f>
        <v>5S-SHW</v>
      </c>
      <c r="E937" s="99" t="str">
        <f>IF(D937="","",IF(D288="Good!",IF(D290="Good!",D937,""),""))</f>
        <v/>
      </c>
      <c r="F937" s="142">
        <f>J272*('Estimating Form'!$D$18/12+$M$957)</f>
        <v>60.980416666666663</v>
      </c>
      <c r="I937" s="26" t="str">
        <f>IF('Estimating Form'!$D$26="Passenger",IF(JAXSAFAC!$A$443&gt;=3,IF(JAXSAFAC!$A$444&lt;=1,"7S-SW",""),""),IF(JAXSAFAC!$A$443&gt;=3,IF(JAXSAFAC!$A$444&lt;=1.5,"7S-SW",""),""))</f>
        <v>7S-SW</v>
      </c>
      <c r="J937" s="99" t="str">
        <f>IF(I937="","",IF($D$453="Good!",IF($D$455="Good!",$I$937,""),""))</f>
        <v/>
      </c>
      <c r="K937" s="190">
        <v>7.4880000000000004</v>
      </c>
      <c r="L937" s="190">
        <v>0.36199999999999999</v>
      </c>
      <c r="M937" s="190">
        <v>10.75</v>
      </c>
      <c r="N937" s="190">
        <v>12</v>
      </c>
      <c r="O937" s="190">
        <v>15.75</v>
      </c>
      <c r="P937" s="190">
        <v>14</v>
      </c>
      <c r="Q937" s="190">
        <v>16</v>
      </c>
      <c r="R937" s="190">
        <v>12.75</v>
      </c>
      <c r="S937" s="190">
        <v>14</v>
      </c>
      <c r="T937" s="190">
        <v>16</v>
      </c>
      <c r="U937" s="190">
        <v>18</v>
      </c>
    </row>
    <row r="938" spans="4:21">
      <c r="D938" s="26" t="str">
        <f>IF('Estimating Form'!D26="Passenger",IF(JAXSAFAC!$A$311&gt;=3,IF(JAXSAFAC!$A$312&lt;=1,"6S-SW",""),""),IF(JAXSAFAC!$A$311&gt;=3,IF(JAXSAFAC!$A$312&lt;=1.5,"6S-SW",""),""))</f>
        <v>6S-SW</v>
      </c>
      <c r="E938" s="99" t="str">
        <f>IF(D938="","",IF(D321="Good!",IF(D323="Good!",D938,""),""))</f>
        <v/>
      </c>
      <c r="F938" s="142">
        <f>J305*('Estimating Form'!$D$18/12+$N$957)</f>
        <v>35.682291666666664</v>
      </c>
      <c r="I938" s="26" t="str">
        <f>IF('Estimating Form'!$D$26="Passenger",IF(JAXSAFAC!$A$476&gt;=3,IF(JAXSAFAC!$A$477&lt;=1,"7S-HW",""),""),IF(JAXSAFAC!$A$476&gt;=3,IF(JAXSAFAC!$A$477&lt;=1.5,"7S-HW",""),""))</f>
        <v>7S-HW</v>
      </c>
      <c r="J938" s="99" t="str">
        <f>IF(I938="","",IF($D$486="Good!",IF($D$488="Good!",$I$938,""),""))</f>
        <v/>
      </c>
      <c r="K938" s="190">
        <v>7.4880000000000004</v>
      </c>
      <c r="L938" s="190">
        <v>0.42499999999999999</v>
      </c>
      <c r="M938" s="190">
        <v>10.75</v>
      </c>
      <c r="N938" s="190">
        <v>12</v>
      </c>
      <c r="O938" s="190">
        <v>15.75</v>
      </c>
      <c r="P938" s="190">
        <v>14</v>
      </c>
      <c r="Q938" s="190">
        <v>16</v>
      </c>
      <c r="R938" s="190">
        <v>12.75</v>
      </c>
      <c r="S938" s="190">
        <v>14</v>
      </c>
      <c r="T938" s="190">
        <v>16</v>
      </c>
      <c r="U938" s="190">
        <v>18</v>
      </c>
    </row>
    <row r="939" spans="4:21">
      <c r="D939" s="26" t="str">
        <f>IF('Estimating Form'!D26="Passenger",IF(JAXSAFAC!$A$344&gt;=3,IF(JAXSAFAC!$A$345&lt;=1,"6S-HW",""),""),IF(JAXSAFAC!$A$344&gt;=3,IF(JAXSAFAC!$A$345&lt;=1.5,"6S-HW",""),""))</f>
        <v>6S-HW</v>
      </c>
      <c r="E939" s="99" t="str">
        <f>IF(D939="","",IF(D354="Good!",IF(D356="Good!",D939,""),""))</f>
        <v/>
      </c>
      <c r="F939" s="142">
        <f>J338*('Estimating Form'!$D$18/12+$N$957)</f>
        <v>55.921145833333334</v>
      </c>
      <c r="I939" s="26" t="str">
        <f>IF('Estimating Form'!$D$26="Passenger",IF(JAXSAFAC!$A$575&gt;=3,IF(JAXSAFAC!$A$576&lt;=1,"8S-SW",""),""),IF(JAXSAFAC!$A$575&gt;=3,IF(JAXSAFAC!$A$576&lt;=1.5,"8S-SW",""),""))</f>
        <v>8S-SW</v>
      </c>
      <c r="J939" s="99" t="str">
        <f>IF(I939="","",IF($D$585="Good!",IF($D$587="Good!",$I$939,""),""))</f>
        <v/>
      </c>
      <c r="K939" s="190">
        <v>8.4879999999999995</v>
      </c>
      <c r="L939" s="190">
        <v>0.36399999999999999</v>
      </c>
      <c r="M939" s="190">
        <v>10.75</v>
      </c>
      <c r="N939" s="190">
        <v>12</v>
      </c>
      <c r="O939" s="190">
        <v>15.75</v>
      </c>
      <c r="P939" s="190">
        <v>14</v>
      </c>
      <c r="Q939" s="190">
        <v>16</v>
      </c>
      <c r="R939" s="190">
        <v>12.75</v>
      </c>
      <c r="S939" s="190">
        <v>14</v>
      </c>
      <c r="T939" s="190">
        <v>16</v>
      </c>
      <c r="U939" s="190">
        <v>18</v>
      </c>
    </row>
    <row r="940" spans="4:21">
      <c r="D940" s="26" t="str">
        <f>IF('Estimating Form'!D26="Passenger",IF(JAXSAFAC!$A$377&gt;=3,IF(JAXSAFAC!$A$378&lt;=1,"6S-EHW",""),""),IF(JAXSAFAC!$A$377&gt;=3,IF(JAXSAFAC!$A$378&lt;=1.5,"6S-EHW",""),""))</f>
        <v>6S-EHW</v>
      </c>
      <c r="E940" s="99" t="str">
        <f>IF(D940="","",IF(D387="Good!",IF(D389="Good!",D940,""),""))</f>
        <v/>
      </c>
      <c r="F940" s="142">
        <f>J371*('Estimating Form'!$D$18/12+$N$957)</f>
        <v>71.69927083333333</v>
      </c>
      <c r="I940" s="26" t="str">
        <f>IF('Estimating Form'!$D$26="Passenger",IF(JAXSAFAC!$A$608&gt;=3,IF(JAXSAFAC!$A$609&lt;=1,"8S-HW",""),""),IF(JAXSAFAC!$A$608&gt;=3,IF(JAXSAFAC!$A$609&lt;=1.5,"8S-HW",""),""))</f>
        <v>8S-HW</v>
      </c>
      <c r="J940" s="99" t="str">
        <f>IF(I940="","",IF($D$618="Good!",IF($D$620="Good!",$I$940,""),""))</f>
        <v/>
      </c>
      <c r="K940" s="190">
        <v>8.4879999999999995</v>
      </c>
      <c r="L940" s="190">
        <v>0.42399999999999999</v>
      </c>
      <c r="M940" s="190">
        <v>10.75</v>
      </c>
      <c r="N940" s="190">
        <v>12</v>
      </c>
      <c r="O940" s="190">
        <v>15.75</v>
      </c>
      <c r="P940" s="190">
        <v>14</v>
      </c>
      <c r="Q940" s="190">
        <v>16</v>
      </c>
      <c r="R940" s="190">
        <v>12.75</v>
      </c>
      <c r="S940" s="190">
        <v>14</v>
      </c>
      <c r="T940" s="190">
        <v>16</v>
      </c>
      <c r="U940" s="190">
        <v>18</v>
      </c>
    </row>
    <row r="941" spans="4:21">
      <c r="D941" s="26" t="str">
        <f>IF('Estimating Form'!D26="Passenger",IF(JAXSAFAC!$A$410&gt;=3,IF(JAXSAFAC!$A$411&lt;=1,"6S-SHW",""),""),IF(JAXSAFAC!$A$410&gt;=3,IF(JAXSAFAC!$A$411&lt;=1.5,"6S-SHW",""),""))</f>
        <v>6S-SHW</v>
      </c>
      <c r="E941" s="99" t="str">
        <f>IF(D941="","",IF(D420="Good!",IF(D422="Good!",D941,""),""))</f>
        <v/>
      </c>
      <c r="F941" s="142">
        <f>J404*('Estimating Form'!$D$18/12+$N$957)</f>
        <v>85.538333333333327</v>
      </c>
      <c r="I941" s="26" t="str">
        <f>IF('Estimating Form'!$D$26="Passenger",IF(JAXSAFAC!$A$674&gt;=3,IF(JAXSAFAC!$A$675&lt;=1,"9S-SW",""),""),IF(JAXSAFAC!$A$674&gt;=3,IF(JAXSAFAC!$A$675&lt;=1.5,"9S-SW",""),""))</f>
        <v>9S-SW</v>
      </c>
      <c r="J941" s="99" t="str">
        <f>IF(I941="","",IF($D$684="Good!",IF($D$686="Good!",$I$941,""),""))</f>
        <v/>
      </c>
      <c r="K941" s="190">
        <v>9.4879999999999995</v>
      </c>
      <c r="L941" s="190">
        <v>0.43099999999999999</v>
      </c>
      <c r="M941" s="190">
        <v>12.75</v>
      </c>
      <c r="N941" s="190">
        <v>14</v>
      </c>
      <c r="O941" s="190">
        <v>16.75</v>
      </c>
      <c r="P941" s="190">
        <v>16</v>
      </c>
      <c r="Q941" s="190">
        <v>18</v>
      </c>
      <c r="R941" s="190">
        <v>16</v>
      </c>
      <c r="S941" s="190">
        <v>17.5</v>
      </c>
      <c r="T941" s="190">
        <v>20</v>
      </c>
      <c r="U941" s="190">
        <v>25</v>
      </c>
    </row>
    <row r="942" spans="4:21">
      <c r="D942" s="26" t="str">
        <f>IF('Estimating Form'!$D$26="Passenger",IF(JAXSAFAC!$A$443&gt;=3,IF(JAXSAFAC!$A$444&lt;=1,"7S-SW",""),""),IF(JAXSAFAC!$A$443&gt;=3,IF(JAXSAFAC!$A$444&lt;=1.5,"7S-SW",""),""))</f>
        <v>7S-SW</v>
      </c>
      <c r="E942" s="99" t="str">
        <f>IF(D942="","",IF($D$453="Good!",IF($D$455="Good!",$D$942,""),""))</f>
        <v/>
      </c>
      <c r="F942" s="142">
        <f>J437*('Estimating Form'!$D$18/12+$O$957)</f>
        <v>49.004541666666668</v>
      </c>
      <c r="I942" s="26" t="str">
        <f>IF('Estimating Form'!$D$26="Passenger",IF(JAXSAFAC!$A$707&gt;=3,IF(JAXSAFAC!$A$708&lt;=1,"9S-HW",""),""),IF(JAXSAFAC!$A$707&gt;=3,IF(JAXSAFAC!$A$708&lt;=1.5,"9S-HW",""),""))</f>
        <v>9S-HW</v>
      </c>
      <c r="J942" s="99" t="str">
        <f>IF(I942="","",IF($D$717="Good!",IF($D$719="Good!",$I$942,""),""))</f>
        <v/>
      </c>
      <c r="K942" s="190">
        <v>9.4879999999999995</v>
      </c>
      <c r="L942" s="190">
        <v>0.68100000000000005</v>
      </c>
      <c r="M942" s="190">
        <v>12.75</v>
      </c>
      <c r="N942" s="190">
        <v>14</v>
      </c>
      <c r="O942" s="190">
        <v>16.75</v>
      </c>
      <c r="P942" s="190">
        <v>16</v>
      </c>
      <c r="Q942" s="190">
        <v>18</v>
      </c>
      <c r="R942" s="190">
        <v>16</v>
      </c>
      <c r="S942" s="190">
        <v>17.5</v>
      </c>
      <c r="T942" s="190">
        <v>20</v>
      </c>
      <c r="U942" s="190">
        <v>25</v>
      </c>
    </row>
    <row r="943" spans="4:21">
      <c r="D943" s="26" t="str">
        <f>IF('Estimating Form'!$D$26="Passenger",IF(JAXSAFAC!$A$476&gt;=3,IF(JAXSAFAC!$A$477&lt;=1,"7S-HW",""),""),IF(JAXSAFAC!$A$476&gt;=3,IF(JAXSAFAC!$A$477&lt;=1.5,"7S-HW",""),""))</f>
        <v>7S-HW</v>
      </c>
      <c r="E943" s="99" t="str">
        <f>IF(D943="","",IF($D$486="Good!",IF($D$488="Good!",$D$943,""),""))</f>
        <v/>
      </c>
      <c r="F943" s="142">
        <f>J470*('Estimating Form'!$D$18/12+$O$957)</f>
        <v>57.018041666666669</v>
      </c>
      <c r="I943" s="26" t="str">
        <f>IF('Estimating Form'!$D$26="Passenger",IF(JAXSAFAC!$A$740&gt;=3,IF(JAXSAFAC!$A$741&lt;=1,"10S-SW",""),""),IF(JAXSAFAC!$A$740&gt;=3,IF(JAXSAFAC!$A$741&lt;=1.5,"10S-SW",""),""))</f>
        <v>10S-SW</v>
      </c>
      <c r="J943" s="99" t="str">
        <f>IF(I943="","",IF($D$750="Good!",IF($D$752="Good!",$I$943,""),""))</f>
        <v/>
      </c>
      <c r="K943" s="190">
        <v>10.613</v>
      </c>
      <c r="L943" s="191">
        <v>0.42699999999999999</v>
      </c>
      <c r="M943" s="190">
        <v>12.75</v>
      </c>
      <c r="N943" s="190">
        <v>14</v>
      </c>
      <c r="O943" s="190">
        <v>16.75</v>
      </c>
      <c r="P943" s="190">
        <v>16</v>
      </c>
      <c r="Q943" s="190">
        <v>18</v>
      </c>
      <c r="R943" s="190">
        <v>16</v>
      </c>
      <c r="S943" s="190">
        <v>17.5</v>
      </c>
      <c r="T943" s="190">
        <v>20</v>
      </c>
      <c r="U943" s="190">
        <v>25</v>
      </c>
    </row>
    <row r="944" spans="4:21">
      <c r="D944" s="26" t="str">
        <f>IF('Estimating Form'!D26="Passenger",IF(JAXSAFAC!$A$509&gt;=3,IF(JAXSAFAC!$A$510&lt;=1,"7S-EHW",""),""),IF(JAXSAFAC!$A$509&gt;=3,IF(JAXSAFAC!$A$510&lt;=1.5,"7S-EHW",""),""))</f>
        <v>7S-EHW</v>
      </c>
      <c r="E944" s="99" t="str">
        <f>IF(D944="","",IF(D519="Good!",IF(D521="Good!",D944,""),""))</f>
        <v/>
      </c>
      <c r="F944" s="142">
        <f>J503*('Estimating Form'!$D$18/12+$O$957)</f>
        <v>87.567734375000001</v>
      </c>
      <c r="I944" s="27" t="str">
        <f>IF('Estimating Form'!$D$26="Passenger",IF(JAXSAFAC!$A$773&gt;=3,IF(JAXSAFAC!$A$774&lt;=1,"10S-HW",""),""),IF(JAXSAFAC!$A$773&gt;=3,IF(JAXSAFAC!$A$774&lt;=1.5,"10S-HW",""),""))</f>
        <v>10S-HW</v>
      </c>
      <c r="J944" s="100" t="str">
        <f>IF(I944="","",IF($D$783="Good!",IF($D$785="Good!",$I$944,""),""))</f>
        <v/>
      </c>
      <c r="K944" s="190">
        <v>10.613</v>
      </c>
      <c r="L944" s="190">
        <v>0.52</v>
      </c>
      <c r="M944" s="190">
        <v>12.75</v>
      </c>
      <c r="N944" s="190">
        <v>14</v>
      </c>
      <c r="O944" s="190">
        <v>16.75</v>
      </c>
      <c r="P944" s="190">
        <v>16</v>
      </c>
      <c r="Q944" s="190">
        <v>18</v>
      </c>
      <c r="R944" s="190">
        <v>16</v>
      </c>
      <c r="S944" s="190">
        <v>17.5</v>
      </c>
      <c r="T944" s="190">
        <v>20</v>
      </c>
      <c r="U944" s="190">
        <v>25</v>
      </c>
    </row>
    <row r="945" spans="4:20">
      <c r="D945" s="26" t="str">
        <f>IF('Estimating Form'!D26="Passenger",IF(JAXSAFAC!$A$542&gt;=3,IF(JAXSAFAC!$A$543&lt;=1,"7S-SHW",""),""),IF(JAXSAFAC!$A$542&gt;=3,IF(JAXSAFAC!$A$543&lt;=1.5,"7S-SHW",""),""))</f>
        <v>7S-SHW</v>
      </c>
      <c r="E945" s="99" t="str">
        <f>IF(D945="","",IF(D552="Good!",IF(D554="Good!",D945,""),""))</f>
        <v/>
      </c>
      <c r="F945" s="142">
        <f>J536*('Estimating Form'!$D$18/12+$O$957)</f>
        <v>115.9186875</v>
      </c>
      <c r="Q945" s="191"/>
    </row>
    <row r="946" spans="4:20">
      <c r="D946" s="26" t="str">
        <f>IF('Estimating Form'!$D$26="Passenger",IF(JAXSAFAC!$A$575&gt;=3,IF(JAXSAFAC!$A$576&lt;=1,"8S-SW",""),""),IF(JAXSAFAC!$A$575&gt;=3,IF(JAXSAFAC!$A$576&lt;=1.5,"8S-SW",""),""))</f>
        <v>8S-SW</v>
      </c>
      <c r="E946" s="99" t="str">
        <f>IF(D946="","",IF($D$585="Good!",IF($D$587="Good!",$D$946,""),""))</f>
        <v/>
      </c>
      <c r="F946" s="142">
        <f>J569*('Estimating Form'!$D$18/12+$P$957)</f>
        <v>56.103380208333334</v>
      </c>
    </row>
    <row r="947" spans="4:20">
      <c r="D947" s="26" t="str">
        <f>IF('Estimating Form'!$D$26="Passenger",IF(JAXSAFAC!$A$608&gt;=3,IF(JAXSAFAC!$A$609&lt;=1,"8S-HW",""),""),IF(JAXSAFAC!$A$608&gt;=3,IF(JAXSAFAC!$A$609&lt;=1.5,"8S-HW",""),""))</f>
        <v>8S-HW</v>
      </c>
      <c r="E947" s="99" t="str">
        <f>IF(D947="","",IF($D$618="Good!",IF($D$620="Good!",$D$947,""),""))</f>
        <v/>
      </c>
      <c r="F947" s="142">
        <f>J602*('Estimating Form'!$D$18/12+$P$957)</f>
        <v>64.875249999999994</v>
      </c>
    </row>
    <row r="948" spans="4:20">
      <c r="D948" s="26" t="str">
        <f>IF('Estimating Form'!D26="Passenger",IF(JAXSAFAC!$A$641&gt;=3,IF(JAXSAFAC!$A$642&lt;=1,"8S-EHW",""),""),IF(JAXSAFAC!$A$641&gt;=3,IF(JAXSAFAC!$A$642&lt;=1.5,"8S-EHW",""),""))</f>
        <v>8S-EHW</v>
      </c>
      <c r="E948" s="99" t="str">
        <f>IF(D948="","",IF(D651="Good!",IF(D653="Good!",D948,""),""))</f>
        <v/>
      </c>
      <c r="F948" s="142">
        <f>J635*('Estimating Form'!$D$18/12+$P$957)</f>
        <v>96.003932291666672</v>
      </c>
    </row>
    <row r="949" spans="4:20">
      <c r="D949" s="26" t="str">
        <f>IF('Estimating Form'!$D$26="Passenger",IF(JAXSAFAC!$A$674&gt;=3,IF(JAXSAFAC!$A$675&lt;=1,"9S-SW",""),""),IF(JAXSAFAC!$A$674&gt;=3,IF(JAXSAFAC!$A$675&lt;=1.5,"9S-SW",""),""))</f>
        <v>9S-SW</v>
      </c>
      <c r="E949" s="99" t="str">
        <f>IF(D949="","",IF($D$684="Good!",IF($D$686="Good!",$D$949,""),""))</f>
        <v/>
      </c>
      <c r="F949" s="142">
        <f>J668*('Estimating Form'!$D$18/12+$Q$957)</f>
        <v>79.5859375</v>
      </c>
      <c r="K949" s="28" t="s">
        <v>518</v>
      </c>
    </row>
    <row r="950" spans="4:20">
      <c r="D950" s="26" t="str">
        <f>IF('Estimating Form'!$D$26="Passenger",IF(JAXSAFAC!$A$707&gt;=3,IF(JAXSAFAC!$A$708&lt;=1,"9S-HW",""),""),IF(JAXSAFAC!$A$707&gt;=3,IF(JAXSAFAC!$A$708&lt;=1.5,"9S-HW",""),""))</f>
        <v>9S-HW</v>
      </c>
      <c r="E950" s="99" t="str">
        <f>IF(D950="","",IF($D$717="Good!",IF($D$719="Good!",$D$950,""),""))</f>
        <v/>
      </c>
      <c r="F950" s="142">
        <f>J701*('Estimating Form'!$D$18/12+$Q$957)</f>
        <v>122.251625</v>
      </c>
    </row>
    <row r="951" spans="4:20">
      <c r="D951" s="26" t="str">
        <f>IF('Estimating Form'!$D$26="Passenger",IF(JAXSAFAC!$A$740&gt;=3,IF(JAXSAFAC!$A$741&lt;=1,"10S-SW",""),""),IF(JAXSAFAC!$A$740&gt;=3,IF(JAXSAFAC!$A$741&lt;=1.5,"10S-SW",""),""))</f>
        <v>10S-SW</v>
      </c>
      <c r="E951" s="99" t="str">
        <f>IF(D951="","",IF($D$750="Good!",IF($D$752="Good!",$D$951,""),""))</f>
        <v/>
      </c>
      <c r="F951" s="142">
        <f>J734*('Estimating Form'!$D$18/12+$R$957)</f>
        <v>90.513843750000007</v>
      </c>
      <c r="K951" s="191">
        <v>3</v>
      </c>
      <c r="L951" s="191">
        <v>4</v>
      </c>
      <c r="M951" s="191">
        <v>5</v>
      </c>
      <c r="N951" s="191">
        <v>6</v>
      </c>
      <c r="O951" s="191">
        <v>7</v>
      </c>
      <c r="P951" s="191">
        <v>8</v>
      </c>
      <c r="Q951" s="191">
        <v>9</v>
      </c>
      <c r="R951" s="191">
        <v>10</v>
      </c>
      <c r="S951" s="191">
        <v>12</v>
      </c>
      <c r="T951" s="191">
        <v>15</v>
      </c>
    </row>
    <row r="952" spans="4:20">
      <c r="D952" s="26" t="str">
        <f>IF('Estimating Form'!$D$26="Passenger",IF(JAXSAFAC!$A$773&gt;=3,IF(JAXSAFAC!$A$774&lt;=1,"10S-HW",""),""),IF(JAXSAFAC!$A$773&gt;=3,IF(JAXSAFAC!$A$774&lt;=1.5,"10S-HW",""),""))</f>
        <v>10S-HW</v>
      </c>
      <c r="E952" s="99" t="str">
        <f>IF(D952="","",IF($D$783="Good!",IF($D$785="Good!",$D$952,""),""))</f>
        <v/>
      </c>
      <c r="F952" s="142">
        <f>J767*('Estimating Form'!$D$18/12+$R$957)</f>
        <v>109.23332291666667</v>
      </c>
      <c r="J952" t="s">
        <v>959</v>
      </c>
      <c r="K952" s="190">
        <v>5.25</v>
      </c>
      <c r="L952" s="190">
        <f t="shared" ref="L952:N952" si="0">5.25</f>
        <v>5.25</v>
      </c>
      <c r="M952" s="190">
        <f t="shared" si="0"/>
        <v>5.25</v>
      </c>
      <c r="N952" s="190">
        <f t="shared" si="0"/>
        <v>5.25</v>
      </c>
      <c r="O952" s="190">
        <f>5+(5/16)</f>
        <v>5.3125</v>
      </c>
      <c r="P952" s="190">
        <f>5+(5/16)</f>
        <v>5.3125</v>
      </c>
      <c r="Q952" s="190">
        <f>6+(7/8)</f>
        <v>6.875</v>
      </c>
      <c r="R952" s="190">
        <f>7+(3/8)</f>
        <v>7.375</v>
      </c>
      <c r="S952" s="190">
        <f>8</f>
        <v>8</v>
      </c>
      <c r="T952" s="190">
        <f>8+(3/16)</f>
        <v>8.1875</v>
      </c>
    </row>
    <row r="953" spans="4:20">
      <c r="D953" s="26" t="str">
        <f>IF('Estimating Form'!D26="Passenger",IF(JAXSAFAC!$A$806&gt;=3,IF(JAXSAFAC!$A$807&lt;=1,"10S-EHW",""),""),IF(JAXSAFAC!$A$806&gt;=3,IF(JAXSAFAC!$A$807&lt;=1.5,"10S-EHW",""),""))</f>
        <v>10S-EHW</v>
      </c>
      <c r="E953" s="99" t="str">
        <f>IF(D953="","",IF(D816="Good!",IF(D818="Good!",D953,""),""))</f>
        <v/>
      </c>
      <c r="F953" s="142">
        <f>J800*('Estimating Form'!$D$18/12+$R$957)</f>
        <v>134.89128124999999</v>
      </c>
      <c r="J953" s="192" t="s">
        <v>520</v>
      </c>
      <c r="K953" s="190">
        <f>IF('Estimating Form'!$D$28&lt;101,6,9)</f>
        <v>6</v>
      </c>
      <c r="L953" s="190">
        <f>IF('Estimating Form'!$D$28&lt;101,6,9)</f>
        <v>6</v>
      </c>
      <c r="M953" s="190">
        <f>IF('Estimating Form'!$D$28&lt;101,6,9)</f>
        <v>6</v>
      </c>
      <c r="N953" s="190">
        <f>IF('Estimating Form'!$D$28&lt;101,6,9)</f>
        <v>6</v>
      </c>
      <c r="O953" s="190">
        <f>IF('Estimating Form'!$D$28&lt;101,6,9)</f>
        <v>6</v>
      </c>
      <c r="P953" s="190">
        <f>IF('Estimating Form'!$D$28&lt;101,6,9)</f>
        <v>6</v>
      </c>
      <c r="Q953" s="190">
        <f>IF('Estimating Form'!$D$28&lt;101,6,9)</f>
        <v>6</v>
      </c>
      <c r="R953" s="190">
        <f>IF('Estimating Form'!$D$28&lt;101,6,9)</f>
        <v>6</v>
      </c>
      <c r="S953" s="190">
        <f>IF('Estimating Form'!$D$28&lt;101,6,9)</f>
        <v>6</v>
      </c>
      <c r="T953" s="190">
        <f>IF('Estimating Form'!$D$28&lt;101,6,9)</f>
        <v>6</v>
      </c>
    </row>
    <row r="954" spans="4:20">
      <c r="D954" s="26" t="str">
        <f>IF('Estimating Form'!D26="Passenger",IF(JAXSAFAC!$A$839&gt;=3,IF(JAXSAFAC!$A$840&lt;=1,"12S-SW",""),""),IF(JAXSAFAC!$A$839&gt;=3,IF(JAXSAFAC!$A$840&lt;=1.5,"12S-SW",""),""))</f>
        <v>12S-SW</v>
      </c>
      <c r="E954" s="99" t="str">
        <f>IF(D954="","",IF(D849="Good!",IF(D851="Good!",D954,""),""))</f>
        <v/>
      </c>
      <c r="F954" s="142">
        <f>J833*('Estimating Form'!$D$18/12+$S$957)</f>
        <v>112.312</v>
      </c>
      <c r="J954" s="192" t="s">
        <v>521</v>
      </c>
      <c r="K954" s="190">
        <f>10</f>
        <v>10</v>
      </c>
      <c r="L954" s="190">
        <f>10</f>
        <v>10</v>
      </c>
      <c r="M954" s="190">
        <f>10</f>
        <v>10</v>
      </c>
      <c r="N954" s="190">
        <f>10</f>
        <v>10</v>
      </c>
      <c r="O954" s="190">
        <f>10</f>
        <v>10</v>
      </c>
      <c r="P954" s="190">
        <f>10</f>
        <v>10</v>
      </c>
      <c r="Q954" s="190">
        <f>10</f>
        <v>10</v>
      </c>
      <c r="R954" s="190">
        <f>10</f>
        <v>10</v>
      </c>
      <c r="S954" s="190">
        <f>10</f>
        <v>10</v>
      </c>
      <c r="T954" s="190">
        <f>10</f>
        <v>10</v>
      </c>
    </row>
    <row r="955" spans="4:20">
      <c r="D955" s="26" t="str">
        <f>IF('Estimating Form'!D26="Passenger",IF(JAXSAFAC!$A$872&gt;=3,IF(JAXSAFAC!$A$873&lt;=1,"12S-HW",""),""),IF(JAXSAFAC!$A$872&gt;=3,IF(JAXSAFAC!$A$873&lt;=1.5,"12S-HW",""),""))</f>
        <v>12S-HW</v>
      </c>
      <c r="E955" s="99" t="str">
        <f>IF(D955="","",IF(D882="Good!",IF(D884="Good!",D955,""),""))</f>
        <v/>
      </c>
      <c r="F955" s="142">
        <f>J866*('Estimating Form'!$D$18/12+$S$957)</f>
        <v>127.806</v>
      </c>
      <c r="K955" s="191"/>
      <c r="L955" s="191"/>
      <c r="M955" s="191"/>
      <c r="N955" s="191"/>
      <c r="O955" s="191"/>
      <c r="P955" s="191"/>
      <c r="Q955" s="191"/>
      <c r="R955" s="191"/>
      <c r="S955" s="191"/>
      <c r="T955" s="191"/>
    </row>
    <row r="956" spans="4:20">
      <c r="D956" s="27" t="str">
        <f>IF('Estimating Form'!D26="Passenger",IF(JAXSAFAC!$A$905&gt;=3,IF(JAXSAFAC!$A$906&lt;=1,"15S-SW",""),""),IF(JAXSAFAC!$A$905&gt;=3,IF(JAXSAFAC!$A$906&lt;=1.5,"15S-SW",""),""))</f>
        <v>15S-SW</v>
      </c>
      <c r="E956" s="100" t="str">
        <f>IF(D956="","",IF(D915="Good!",IF(D917="Good!",D956,""),""))</f>
        <v/>
      </c>
      <c r="F956" s="142">
        <f>J899*('Estimating Form'!$D$18/12+$T$957)</f>
        <v>172.007390625</v>
      </c>
      <c r="J956" s="28" t="s">
        <v>519</v>
      </c>
      <c r="K956" s="353">
        <f>SUM(K953:K954)/12</f>
        <v>1.3333333333333333</v>
      </c>
      <c r="L956" s="353">
        <f t="shared" ref="L956:T956" si="1">SUM(L953:L954)/12</f>
        <v>1.3333333333333333</v>
      </c>
      <c r="M956" s="353">
        <f t="shared" si="1"/>
        <v>1.3333333333333333</v>
      </c>
      <c r="N956" s="353">
        <f t="shared" si="1"/>
        <v>1.3333333333333333</v>
      </c>
      <c r="O956" s="353">
        <f t="shared" si="1"/>
        <v>1.3333333333333333</v>
      </c>
      <c r="P956" s="353">
        <f t="shared" si="1"/>
        <v>1.3333333333333333</v>
      </c>
      <c r="Q956" s="353">
        <f t="shared" si="1"/>
        <v>1.3333333333333333</v>
      </c>
      <c r="R956" s="353">
        <f t="shared" si="1"/>
        <v>1.3333333333333333</v>
      </c>
      <c r="S956" s="353">
        <f t="shared" si="1"/>
        <v>1.3333333333333333</v>
      </c>
      <c r="T956" s="353">
        <f t="shared" si="1"/>
        <v>1.3333333333333333</v>
      </c>
    </row>
    <row r="957" spans="4:20">
      <c r="E957" s="28" t="str">
        <f>IF(D956="","",IF(D915="Good!",IF(D917="Good!",D956,""),""))</f>
        <v/>
      </c>
      <c r="J957" s="28" t="s">
        <v>956</v>
      </c>
      <c r="K957" s="190">
        <f t="shared" ref="K957:T957" si="2">SUM(K952:K954)/12</f>
        <v>1.7708333333333333</v>
      </c>
      <c r="L957" s="190">
        <f t="shared" si="2"/>
        <v>1.7708333333333333</v>
      </c>
      <c r="M957" s="190">
        <f t="shared" si="2"/>
        <v>1.7708333333333333</v>
      </c>
      <c r="N957" s="190">
        <f t="shared" si="2"/>
        <v>1.7708333333333333</v>
      </c>
      <c r="O957" s="190">
        <f t="shared" si="2"/>
        <v>1.7760416666666667</v>
      </c>
      <c r="P957" s="190">
        <f t="shared" si="2"/>
        <v>1.7760416666666667</v>
      </c>
      <c r="Q957" s="190">
        <f t="shared" si="2"/>
        <v>1.90625</v>
      </c>
      <c r="R957" s="190">
        <f t="shared" si="2"/>
        <v>1.9479166666666667</v>
      </c>
      <c r="S957" s="190">
        <f t="shared" si="2"/>
        <v>2</v>
      </c>
      <c r="T957" s="190">
        <f t="shared" si="2"/>
        <v>2.015625</v>
      </c>
    </row>
    <row r="961" spans="4:16">
      <c r="D961" t="s">
        <v>887</v>
      </c>
      <c r="F961" s="106" t="s">
        <v>439</v>
      </c>
      <c r="G961" s="106" t="s">
        <v>441</v>
      </c>
      <c r="H961" s="106" t="s">
        <v>440</v>
      </c>
      <c r="I961" s="106" t="s">
        <v>445</v>
      </c>
      <c r="J961" s="106" t="s">
        <v>444</v>
      </c>
      <c r="K961" s="106" t="s">
        <v>510</v>
      </c>
      <c r="L961" s="106" t="s">
        <v>517</v>
      </c>
      <c r="M961" s="23" t="s">
        <v>500</v>
      </c>
      <c r="N961" s="106" t="s">
        <v>502</v>
      </c>
      <c r="O961" s="106" t="s">
        <v>511</v>
      </c>
      <c r="P961" s="106" t="s">
        <v>516</v>
      </c>
    </row>
    <row r="962" spans="4:16">
      <c r="D962" s="25" t="str">
        <f>IF('Estimating Form'!$D$26="Passenger",IF(JAXSAFAC!$A$14&gt;=3,IF(JAXSAFAC!$A$15&lt;=1,"3S-SW",""),""),IF(JAXSAFAC!$A$14&gt;=3,IF(JAXSAFAC!$A$15&lt;=1.5,"3S-SW",""),""))</f>
        <v>3S-SW</v>
      </c>
      <c r="E962" s="98" t="str">
        <f>IF(D962="","",IF($D$24="Good!",IF($D$26="Good!",D962,""),""))</f>
        <v/>
      </c>
      <c r="F962" s="190">
        <v>3.8730000000000002</v>
      </c>
      <c r="G962" s="190">
        <v>0.255</v>
      </c>
      <c r="H962" s="190">
        <v>5.5625</v>
      </c>
      <c r="I962" s="190">
        <v>6.25</v>
      </c>
      <c r="J962" s="190">
        <v>7.5</v>
      </c>
      <c r="K962" s="190">
        <v>8.625</v>
      </c>
      <c r="L962" s="190">
        <v>10.875</v>
      </c>
      <c r="M962" s="189" t="s">
        <v>501</v>
      </c>
      <c r="N962" s="189" t="s">
        <v>501</v>
      </c>
      <c r="O962" s="189" t="s">
        <v>501</v>
      </c>
      <c r="P962" s="189" t="s">
        <v>501</v>
      </c>
    </row>
    <row r="963" spans="4:16">
      <c r="D963" s="26" t="str">
        <f>IF('Estimating Form'!$FD$59="Passenger",IF(JAXSAFAC!$A$47&gt;=3,IF(JAXSAFAC!$A$48&lt;=1,"3S-HW",""),""),IF(JAXSAFAC!$A$47&gt;=3,IF(JAXSAFAC!$A$48&lt;=1.5,"3S-HW",""),""))</f>
        <v>3S-HW</v>
      </c>
      <c r="E963" s="99" t="str">
        <f>IF(D963="","",IF($D$57="Good!",IF($D$59="Good!",D963,""),""))</f>
        <v/>
      </c>
      <c r="F963" s="190">
        <v>3.8730000000000002</v>
      </c>
      <c r="G963" s="190">
        <v>0.57299999999999995</v>
      </c>
      <c r="H963" s="190">
        <v>5.5625</v>
      </c>
      <c r="I963" s="190">
        <v>6.25</v>
      </c>
      <c r="J963" s="190">
        <v>7.5</v>
      </c>
      <c r="K963" s="190">
        <v>8.625</v>
      </c>
      <c r="L963" s="190">
        <v>10.875</v>
      </c>
      <c r="M963" s="189" t="s">
        <v>501</v>
      </c>
      <c r="N963" s="189" t="s">
        <v>501</v>
      </c>
      <c r="O963" s="189" t="s">
        <v>501</v>
      </c>
      <c r="P963" s="189" t="s">
        <v>501</v>
      </c>
    </row>
    <row r="964" spans="4:16">
      <c r="D964" s="26" t="str">
        <f>IF('Estimating Form'!$D$26="Passenger",IF(JAXSAFAC!$A$80&gt;=3,IF(JAXSAFAC!$A$81&lt;=1,"4S-SW",""),""),IF(JAXSAFAC!$A$80&gt;=3,IF(JAXSAFAC!$A$81&lt;=1.5,"4S-SW",""),""))</f>
        <v>4S-SW</v>
      </c>
      <c r="E964" s="99" t="str">
        <f>IF(D964="","",IF($D$90="Good!",IF($D$92="Good!",D964,""),""))</f>
        <v/>
      </c>
      <c r="F964" s="190">
        <v>4.3600000000000003</v>
      </c>
      <c r="G964" s="190">
        <v>0.26</v>
      </c>
      <c r="H964" s="190">
        <v>6.625</v>
      </c>
      <c r="I964" s="190">
        <v>7.5</v>
      </c>
      <c r="J964" s="190">
        <v>10.25</v>
      </c>
      <c r="K964" s="190">
        <v>10.75</v>
      </c>
      <c r="L964" s="190">
        <v>12.75</v>
      </c>
      <c r="M964" s="190">
        <v>8.625</v>
      </c>
      <c r="N964" s="190">
        <v>9.625</v>
      </c>
      <c r="O964" s="190">
        <v>12.75</v>
      </c>
      <c r="P964" s="190">
        <v>14</v>
      </c>
    </row>
    <row r="965" spans="4:16">
      <c r="D965" s="26" t="str">
        <f>IF('Estimating Form'!$D$26="Passenger",IF(JAXSAFAC!$A$113&gt;=3,IF(JAXSAFAC!$A$114&lt;=1,"4S-HW",""),""),IF(JAXSAFAC!$A$113&gt;=3,IF(JAXSAFAC!$A$114&lt;=1.5,"4S-HW",""),""))</f>
        <v>4S-HW</v>
      </c>
      <c r="E965" s="99" t="str">
        <f>IF(D965="","",IF($D$123="Good!",IF($D$125="Good!",D965,""),""))</f>
        <v/>
      </c>
      <c r="F965" s="190">
        <v>4.3600000000000003</v>
      </c>
      <c r="G965" s="190">
        <v>0.44900000000000001</v>
      </c>
      <c r="H965" s="190">
        <v>6.625</v>
      </c>
      <c r="I965" s="190">
        <v>7.5</v>
      </c>
      <c r="J965" s="190">
        <v>10.25</v>
      </c>
      <c r="K965" s="190">
        <v>10.75</v>
      </c>
      <c r="L965" s="190">
        <v>12.75</v>
      </c>
      <c r="M965" s="190">
        <v>8.625</v>
      </c>
      <c r="N965" s="190">
        <v>9.625</v>
      </c>
      <c r="O965" s="190">
        <v>12.75</v>
      </c>
      <c r="P965" s="190">
        <v>14</v>
      </c>
    </row>
    <row r="966" spans="4:16">
      <c r="D966" s="26" t="str">
        <f>IF('Estimating Form'!$D$26="Passenger",IF(JAXSAFAC!$A$146&gt;=3,IF(JAXSAFAC!$A$147&lt;=1,"4S-EHW",""),""),IF(JAXSAFAC!$A$146&gt;=3,IF(JAXSAFAC!$A$147&lt;=1.5,"4S-EHW",""),""))</f>
        <v>4S-EHW</v>
      </c>
      <c r="E966" s="99" t="str">
        <f>IF(D966="","",IF($D$156="Good!",IF($D$158="Good!",D966,""),""))</f>
        <v/>
      </c>
      <c r="F966" s="190">
        <v>4.3600000000000003</v>
      </c>
      <c r="G966" s="190">
        <v>0.60399999999999998</v>
      </c>
      <c r="H966" s="190">
        <v>6.625</v>
      </c>
      <c r="I966" s="190">
        <v>7.5</v>
      </c>
      <c r="J966" s="190">
        <v>10.25</v>
      </c>
      <c r="K966" s="190">
        <v>10.75</v>
      </c>
      <c r="L966" s="190">
        <v>12.75</v>
      </c>
      <c r="M966" s="190">
        <v>8.625</v>
      </c>
      <c r="N966" s="190">
        <v>9.625</v>
      </c>
      <c r="O966" s="190">
        <v>12.75</v>
      </c>
      <c r="P966" s="190">
        <v>14</v>
      </c>
    </row>
    <row r="967" spans="4:16">
      <c r="D967" s="26" t="str">
        <f>IF('Estimating Form'!$D$26="Passenger",IF(JAXSAFAC!$A$179&gt;=3,IF(JAXSAFAC!$A$180&lt;=1,"5S-SW",""),""),IF(JAXSAFAC!$A$179&gt;=3,IF(JAXSAFAC!$A$180&lt;=1.5,"5S-SW",""),""))</f>
        <v>5S-SW</v>
      </c>
      <c r="E967" s="99" t="str">
        <f>IF(D967="","",IF($D$189="Good!",IF($D$191="Good!",D967,""),""))</f>
        <v/>
      </c>
      <c r="F967" s="190">
        <v>5.4249999999999998</v>
      </c>
      <c r="G967" s="190">
        <v>0.29799999999999999</v>
      </c>
      <c r="H967" s="190">
        <v>8.625</v>
      </c>
      <c r="I967" s="190">
        <v>9.625</v>
      </c>
      <c r="J967" s="190">
        <v>12.25</v>
      </c>
      <c r="K967" s="190">
        <v>12.75</v>
      </c>
      <c r="L967" s="190">
        <v>14</v>
      </c>
      <c r="M967" s="190">
        <v>10.75</v>
      </c>
      <c r="N967" s="190">
        <v>12</v>
      </c>
      <c r="O967" s="190">
        <v>14</v>
      </c>
      <c r="P967" s="190">
        <v>16</v>
      </c>
    </row>
    <row r="968" spans="4:16">
      <c r="D968" s="26" t="str">
        <f>IF('Estimating Form'!$D$26="Passenger",IF(JAXSAFAC!$A$212&gt;=3,IF(JAXSAFAC!$A$213&lt;=1,"5S-HW",""),""),IF(JAXSAFAC!$A$212&gt;=3,IF(JAXSAFAC!$A$213&lt;=1.5,"5S-HW",""),""))</f>
        <v>5S-HW</v>
      </c>
      <c r="E968" s="99" t="str">
        <f>IF(D968="","",IF($D$222="Good!",IF($D$224="Good!",D968,""),""))</f>
        <v/>
      </c>
      <c r="F968" s="190">
        <v>5.4249999999999998</v>
      </c>
      <c r="G968" s="190">
        <v>0.41899999999999998</v>
      </c>
      <c r="H968" s="190">
        <v>8.625</v>
      </c>
      <c r="I968" s="190">
        <v>9.625</v>
      </c>
      <c r="J968" s="190">
        <v>12.25</v>
      </c>
      <c r="K968" s="190">
        <v>12.75</v>
      </c>
      <c r="L968" s="190">
        <v>14</v>
      </c>
      <c r="M968" s="190">
        <v>10.75</v>
      </c>
      <c r="N968" s="190">
        <v>12</v>
      </c>
      <c r="O968" s="190">
        <v>14</v>
      </c>
      <c r="P968" s="190">
        <v>16</v>
      </c>
    </row>
    <row r="969" spans="4:16">
      <c r="D969" s="26" t="str">
        <f>IF('Estimating Form'!$D$26="Passenger",IF(JAXSAFAC!$A$245&gt;=3,IF(JAXSAFAC!$A$246&lt;=1,"5S-EHW",""),""),IF(JAXSAFAC!$A$245&gt;=3,IF(JAXSAFAC!$A$246&lt;=1.5,"5S-EHW",""),""))</f>
        <v>5S-EHW</v>
      </c>
      <c r="E969" s="99" t="str">
        <f>IF(D969="","",IF($D$255="Good!",IF($D$257="Good!",D969,""),""))</f>
        <v/>
      </c>
      <c r="F969" s="190">
        <v>5.4249999999999998</v>
      </c>
      <c r="G969" s="190">
        <v>0.55600000000000005</v>
      </c>
      <c r="H969" s="190">
        <v>8.625</v>
      </c>
      <c r="I969" s="190">
        <v>9.625</v>
      </c>
      <c r="J969" s="190">
        <v>12.25</v>
      </c>
      <c r="K969" s="190">
        <v>12.75</v>
      </c>
      <c r="L969" s="190">
        <v>14</v>
      </c>
      <c r="M969" s="190">
        <v>10.75</v>
      </c>
      <c r="N969" s="190">
        <v>12</v>
      </c>
      <c r="O969" s="190">
        <v>14</v>
      </c>
      <c r="P969" s="190">
        <v>16</v>
      </c>
    </row>
    <row r="970" spans="4:16">
      <c r="D970" s="26" t="str">
        <f>IF('Estimating Form'!$D$26="Passenger",IF(JAXSAFAC!$A$311&gt;=3,IF(JAXSAFAC!$A$312&lt;=1,"6S-SW",""),""),IF(JAXSAFAC!$A$311&gt;=3,IF(JAXSAFAC!$A$312&lt;=1.5,"6S-SW",""),""))</f>
        <v>6S-SW</v>
      </c>
      <c r="E970" s="99" t="str">
        <f>IF(D970="","",IF($D$321="Good!",IF($D$323="Good!",D970,""),""))</f>
        <v/>
      </c>
      <c r="F970" s="190">
        <v>6.4850000000000003</v>
      </c>
      <c r="G970" s="190">
        <v>0.30499999999999999</v>
      </c>
      <c r="H970" s="190">
        <v>8.625</v>
      </c>
      <c r="I970" s="190">
        <v>9.625</v>
      </c>
      <c r="J970" s="190">
        <v>12.25</v>
      </c>
      <c r="K970" s="190">
        <v>12.75</v>
      </c>
      <c r="L970" s="190">
        <v>14</v>
      </c>
      <c r="M970" s="190">
        <v>10.75</v>
      </c>
      <c r="N970" s="190">
        <v>12</v>
      </c>
      <c r="O970" s="190">
        <v>14</v>
      </c>
      <c r="P970" s="190">
        <v>16</v>
      </c>
    </row>
    <row r="971" spans="4:16">
      <c r="D971" s="26" t="str">
        <f>IF('Estimating Form'!$D$26="Passenger",IF(JAXSAFAC!$A$344&gt;=3,IF(JAXSAFAC!$A$345&lt;=1,"6S-HW",""),""),IF(JAXSAFAC!$A$344&gt;=3,IF(JAXSAFAC!$A$345&lt;=1.5,"6S-HW",""),""))</f>
        <v>6S-HW</v>
      </c>
      <c r="E971" s="99" t="str">
        <f>IF(D971="","",IF($D$354="Good!",IF($D$356="Good!",D971,""),""))</f>
        <v/>
      </c>
      <c r="F971" s="190">
        <v>6.4850000000000003</v>
      </c>
      <c r="G971" s="190">
        <v>0.49299999999999999</v>
      </c>
      <c r="H971" s="190">
        <v>8.625</v>
      </c>
      <c r="I971" s="190">
        <v>9.625</v>
      </c>
      <c r="J971" s="190">
        <v>12.25</v>
      </c>
      <c r="K971" s="190">
        <v>12.75</v>
      </c>
      <c r="L971" s="190">
        <v>14</v>
      </c>
      <c r="M971" s="190">
        <v>10.75</v>
      </c>
      <c r="N971" s="190">
        <v>12</v>
      </c>
      <c r="O971" s="190">
        <v>14</v>
      </c>
      <c r="P971" s="190">
        <v>16</v>
      </c>
    </row>
    <row r="972" spans="4:16">
      <c r="D972" s="26" t="str">
        <f>IF('Estimating Form'!$D$26="Passenger",IF(JAXSAFAC!$A$377&gt;=3,IF(JAXSAFAC!$A$378&lt;=1,"6S-EHW",""),""),IF(JAXSAFAC!$A$377&gt;=3,IF(JAXSAFAC!$A$378&lt;=1.5,"6S-EHW",""),""))</f>
        <v>6S-EHW</v>
      </c>
      <c r="E972" s="99" t="str">
        <f>IF(D972="","",IF($D$387="Good!",IF($D$389="Good!",D972,""),""))</f>
        <v/>
      </c>
      <c r="F972" s="190">
        <v>6.4850000000000003</v>
      </c>
      <c r="G972" s="190">
        <v>0.64900000000000002</v>
      </c>
      <c r="H972" s="190">
        <v>8.625</v>
      </c>
      <c r="I972" s="190">
        <v>9.625</v>
      </c>
      <c r="J972" s="190">
        <v>12.25</v>
      </c>
      <c r="K972" s="190">
        <v>12.75</v>
      </c>
      <c r="L972" s="190">
        <v>14</v>
      </c>
      <c r="M972" s="190">
        <v>10.75</v>
      </c>
      <c r="N972" s="190">
        <v>12</v>
      </c>
      <c r="O972" s="190">
        <v>14</v>
      </c>
      <c r="P972" s="190">
        <v>16</v>
      </c>
    </row>
    <row r="973" spans="4:16">
      <c r="D973" s="26" t="str">
        <f>IF('Estimating Form'!$D$26="Passenger",IF(JAXSAFAC!$A$443&gt;=3,IF(JAXSAFAC!$A$444&lt;=1,"7S-SW",""),""),IF(JAXSAFAC!$A$443&gt;=3,IF(JAXSAFAC!$A$444&lt;=1.5,"7S-SW",""),""))</f>
        <v>7S-SW</v>
      </c>
      <c r="E973" s="99" t="str">
        <f>IF(D973="","",IF($D$453="Good!",IF($D$455="Good!",$D$942,""),""))</f>
        <v/>
      </c>
      <c r="F973" s="190">
        <v>7.4880000000000004</v>
      </c>
      <c r="G973" s="190">
        <v>0.36199999999999999</v>
      </c>
      <c r="H973" s="190">
        <v>10.75</v>
      </c>
      <c r="I973" s="190">
        <v>12</v>
      </c>
      <c r="J973" s="190">
        <v>15.75</v>
      </c>
      <c r="K973" s="190">
        <v>14</v>
      </c>
      <c r="L973" s="190">
        <v>16</v>
      </c>
      <c r="M973" s="190">
        <v>12.75</v>
      </c>
      <c r="N973" s="190">
        <v>14</v>
      </c>
      <c r="O973" s="190">
        <v>16</v>
      </c>
      <c r="P973" s="190">
        <v>18</v>
      </c>
    </row>
    <row r="974" spans="4:16">
      <c r="D974" s="26" t="str">
        <f>IF('Estimating Form'!$D$26="Passenger",IF(JAXSAFAC!$A$476&gt;=3,IF(JAXSAFAC!$A$477&lt;=1,"7S-HW",""),""),IF(JAXSAFAC!$A$476&gt;=3,IF(JAXSAFAC!$A$477&lt;=1.5,"7S-HW",""),""))</f>
        <v>7S-HW</v>
      </c>
      <c r="E974" s="99" t="str">
        <f>IF(D974="","",IF($D$486="Good!",IF($D$488="Good!",$D$943,""),""))</f>
        <v/>
      </c>
      <c r="F974" s="190">
        <v>7.4880000000000004</v>
      </c>
      <c r="G974" s="190">
        <v>0.42499999999999999</v>
      </c>
      <c r="H974" s="190">
        <v>10.75</v>
      </c>
      <c r="I974" s="190">
        <v>12</v>
      </c>
      <c r="J974" s="190">
        <v>15.75</v>
      </c>
      <c r="K974" s="190">
        <v>14</v>
      </c>
      <c r="L974" s="190">
        <v>16</v>
      </c>
      <c r="M974" s="190">
        <v>12.75</v>
      </c>
      <c r="N974" s="190">
        <v>14</v>
      </c>
      <c r="O974" s="190">
        <v>16</v>
      </c>
      <c r="P974" s="190">
        <v>18</v>
      </c>
    </row>
    <row r="975" spans="4:16">
      <c r="D975" s="26" t="str">
        <f>IF('Estimating Form'!$D$26="Passenger",IF(JAXSAFAC!$A$509&gt;=3,IF(JAXSAFAC!$A$510&lt;=1,"7S-EHW",""),""),IF(JAXSAFAC!$A$509&gt;=3,IF(JAXSAFAC!$A$510&lt;=1.5,"7S-EHW",""),""))</f>
        <v>7S-EHW</v>
      </c>
      <c r="E975" s="99" t="str">
        <f>IF(D975="","",IF($D$519="Good!",IF($D$521="Good!",D975,""),""))</f>
        <v/>
      </c>
      <c r="F975" s="190">
        <v>7.4880000000000004</v>
      </c>
      <c r="G975" s="190">
        <v>0.67700000000000005</v>
      </c>
      <c r="H975" s="190">
        <v>10.75</v>
      </c>
      <c r="I975" s="190">
        <v>12</v>
      </c>
      <c r="J975" s="190">
        <v>15.75</v>
      </c>
      <c r="K975" s="190">
        <v>14</v>
      </c>
      <c r="L975" s="190">
        <v>16</v>
      </c>
      <c r="M975" s="190">
        <v>12.75</v>
      </c>
      <c r="N975" s="190">
        <v>14</v>
      </c>
      <c r="O975" s="190">
        <v>16</v>
      </c>
      <c r="P975" s="190">
        <v>18</v>
      </c>
    </row>
    <row r="976" spans="4:16">
      <c r="D976" s="26" t="str">
        <f>IF('Estimating Form'!$D$26="Passenger",IF(JAXSAFAC!$A$575&gt;=3,IF(JAXSAFAC!$A$576&lt;=1,"8S-SW",""),""),IF(JAXSAFAC!$A$575&gt;=3,IF(JAXSAFAC!$A$576&lt;=1.5,"8S-SW",""),""))</f>
        <v>8S-SW</v>
      </c>
      <c r="E976" s="99" t="str">
        <f>IF(D976="","",IF($D$585="Good!",IF($D$587="Good!",$D$946,""),""))</f>
        <v/>
      </c>
      <c r="F976" s="190">
        <v>8.4879999999999995</v>
      </c>
      <c r="G976" s="190">
        <v>0.36399999999999999</v>
      </c>
      <c r="H976" s="190">
        <v>10.75</v>
      </c>
      <c r="I976" s="190">
        <v>12</v>
      </c>
      <c r="J976" s="190">
        <v>15.75</v>
      </c>
      <c r="K976" s="190">
        <v>14</v>
      </c>
      <c r="L976" s="190">
        <v>16</v>
      </c>
      <c r="M976" s="190">
        <v>12.75</v>
      </c>
      <c r="N976" s="190">
        <v>14</v>
      </c>
      <c r="O976" s="190">
        <v>16</v>
      </c>
      <c r="P976" s="190">
        <v>18</v>
      </c>
    </row>
    <row r="977" spans="1:29">
      <c r="D977" s="26" t="str">
        <f>IF('Estimating Form'!$D$26="Passenger",IF(JAXSAFAC!$A$608&gt;=3,IF(JAXSAFAC!$A$609&lt;=1,"8S-HW",""),""),IF(JAXSAFAC!$A$608&gt;=3,IF(JAXSAFAC!$A$609&lt;=1.5,"8S-HW",""),""))</f>
        <v>8S-HW</v>
      </c>
      <c r="E977" s="99" t="str">
        <f>IF(D977="","",IF($D$618="Good!",IF($D$620="Good!",$D$947,""),""))</f>
        <v/>
      </c>
      <c r="F977" s="190">
        <v>8.4879999999999995</v>
      </c>
      <c r="G977" s="190">
        <v>0.42399999999999999</v>
      </c>
      <c r="H977" s="190">
        <v>10.75</v>
      </c>
      <c r="I977" s="190">
        <v>12</v>
      </c>
      <c r="J977" s="190">
        <v>15.75</v>
      </c>
      <c r="K977" s="190">
        <v>14</v>
      </c>
      <c r="L977" s="190">
        <v>16</v>
      </c>
      <c r="M977" s="190">
        <v>12.75</v>
      </c>
      <c r="N977" s="190">
        <v>14</v>
      </c>
      <c r="O977" s="190">
        <v>16</v>
      </c>
      <c r="P977" s="190">
        <v>18</v>
      </c>
    </row>
    <row r="978" spans="1:29">
      <c r="D978" s="26" t="str">
        <f>IF('Estimating Form'!$D$26="Passenger",IF(JAXSAFAC!$A$674&gt;=3,IF(JAXSAFAC!$A$675&lt;=1,"9S-SW",""),""),IF(JAXSAFAC!$A$674&gt;=3,IF(JAXSAFAC!$A$675&lt;=1.5,"9S-SW",""),""))</f>
        <v>9S-SW</v>
      </c>
      <c r="E978" s="99" t="str">
        <f>IF(D978="","",IF($D$684="Good!",IF($D$686="Good!",$D$949,""),""))</f>
        <v/>
      </c>
      <c r="F978" s="190">
        <v>9.4879999999999995</v>
      </c>
      <c r="G978" s="190">
        <v>0.43099999999999999</v>
      </c>
      <c r="H978" s="190">
        <v>12.75</v>
      </c>
      <c r="I978" s="190">
        <v>14</v>
      </c>
      <c r="J978" s="190">
        <v>16.75</v>
      </c>
      <c r="K978" s="190">
        <v>16</v>
      </c>
      <c r="L978" s="190">
        <v>18</v>
      </c>
      <c r="M978" s="190">
        <v>16</v>
      </c>
      <c r="N978" s="190">
        <v>17.5</v>
      </c>
      <c r="O978" s="190">
        <v>20</v>
      </c>
      <c r="P978" s="190">
        <v>25</v>
      </c>
    </row>
    <row r="979" spans="1:29">
      <c r="D979" s="26" t="str">
        <f>IF('Estimating Form'!$D$26="Passenger",IF(JAXSAFAC!$A$740&gt;=3,IF(JAXSAFAC!$A$741&lt;=1,"10S-SW",""),""),IF(JAXSAFAC!$A$740&gt;=3,IF(JAXSAFAC!$A$741&lt;=1.5,"10S-SW",""),""))</f>
        <v>10S-SW</v>
      </c>
      <c r="E979" s="99" t="str">
        <f>IF(D979="","",IF($D$750="Good!",IF($D$752="Good!",$D$951,""),""))</f>
        <v/>
      </c>
      <c r="F979" s="190">
        <v>10.613</v>
      </c>
      <c r="G979" s="191">
        <v>0.42699999999999999</v>
      </c>
      <c r="H979" s="190">
        <v>12.75</v>
      </c>
      <c r="I979" s="190">
        <v>14</v>
      </c>
      <c r="J979" s="190">
        <v>16.75</v>
      </c>
      <c r="K979" s="190">
        <v>16</v>
      </c>
      <c r="L979" s="190">
        <v>18</v>
      </c>
      <c r="M979" s="190">
        <v>16</v>
      </c>
      <c r="N979" s="190">
        <v>17.5</v>
      </c>
      <c r="O979" s="190">
        <v>20</v>
      </c>
      <c r="P979" s="190">
        <v>25</v>
      </c>
    </row>
    <row r="980" spans="1:29">
      <c r="D980" s="26" t="str">
        <f>IF('Estimating Form'!$D$26="Passenger",IF(JAXSAFAC!$A$839&gt;=3,IF(JAXSAFAC!$A$840&lt;=1,"12S-SW",""),""),IF(JAXSAFAC!$A$839&gt;=3,IF(JAXSAFAC!$A$840&lt;=1.5,"12S-SW",""),""))</f>
        <v>12S-SW</v>
      </c>
      <c r="E980" s="99" t="str">
        <f>IF(D980="","",IF($D$849="Good!",IF($D$851="Good!",D980,""),""))</f>
        <v/>
      </c>
    </row>
    <row r="981" spans="1:29">
      <c r="D981" s="27" t="str">
        <f>IF('Estimating Form'!$D$26="Passenger",IF(JAXSAFAC!$A$905&gt;=3,IF(JAXSAFAC!$A$906&lt;=1,"15S-SW",""),""),IF(JAXSAFAC!$A$905&gt;=3,IF(JAXSAFAC!$A$906&lt;=1.5,"15S-SW",""),""))</f>
        <v>15S-SW</v>
      </c>
      <c r="E981" s="100" t="str">
        <f>IF(D981="","",IF($D$915="Good!",IF($D$917="Good!",D981,""),""))</f>
        <v/>
      </c>
      <c r="F981" s="190"/>
      <c r="G981" s="190"/>
      <c r="H981" s="190"/>
      <c r="I981" s="190"/>
      <c r="J981" s="190"/>
      <c r="K981" s="190"/>
      <c r="L981" s="190"/>
      <c r="M981" s="190"/>
      <c r="N981" s="190"/>
      <c r="O981" s="190"/>
      <c r="P981" s="190"/>
    </row>
    <row r="987" spans="1:29" ht="48">
      <c r="D987" t="s">
        <v>897</v>
      </c>
      <c r="W987" s="391" t="s">
        <v>903</v>
      </c>
      <c r="X987" s="389" t="s">
        <v>904</v>
      </c>
      <c r="Y987" s="389" t="s">
        <v>905</v>
      </c>
      <c r="Z987" s="389" t="s">
        <v>953</v>
      </c>
      <c r="AA987" s="389" t="s">
        <v>945</v>
      </c>
      <c r="AB987" s="389" t="s">
        <v>943</v>
      </c>
      <c r="AC987" s="389" t="s">
        <v>906</v>
      </c>
    </row>
    <row r="988" spans="1:29" ht="61.5">
      <c r="A988" s="4" t="s">
        <v>15</v>
      </c>
      <c r="B988" s="390" t="s">
        <v>898</v>
      </c>
      <c r="C988" s="389" t="s">
        <v>941</v>
      </c>
      <c r="D988" s="389" t="s">
        <v>942</v>
      </c>
      <c r="E988" s="389" t="s">
        <v>944</v>
      </c>
      <c r="F988" s="389" t="s">
        <v>943</v>
      </c>
      <c r="I988" t="s">
        <v>902</v>
      </c>
      <c r="J988" t="s">
        <v>900</v>
      </c>
      <c r="P988" t="s">
        <v>901</v>
      </c>
      <c r="R988" t="s">
        <v>899</v>
      </c>
      <c r="S988" t="s">
        <v>952</v>
      </c>
      <c r="T988" t="s">
        <v>951</v>
      </c>
      <c r="W988" s="330"/>
    </row>
    <row r="989" spans="1:29" ht="15">
      <c r="A989" s="21" t="s">
        <v>30</v>
      </c>
      <c r="B989">
        <v>492</v>
      </c>
      <c r="C989">
        <v>88</v>
      </c>
      <c r="E989">
        <v>624</v>
      </c>
      <c r="F989">
        <v>87</v>
      </c>
      <c r="I989" s="353">
        <f>$K$957</f>
        <v>1.7708333333333333</v>
      </c>
      <c r="Q989">
        <f>'Estimating Form'!E41</f>
        <v>0</v>
      </c>
      <c r="R989">
        <f>INDEX($A$989:$D$1016,MATCH($Q$989,$A$989:$A$1016,0),2)</f>
        <v>449</v>
      </c>
      <c r="S989">
        <f>INDEX($A$989:$D$1016,MATCH($Q$989,$A$989:$A$1016,0),3)</f>
        <v>0</v>
      </c>
      <c r="T989">
        <f>INDEX($A$989:$D$1016,MATCH($Q$989,$A$989:$A$1016,0),4)</f>
        <v>505</v>
      </c>
      <c r="W989" s="330">
        <v>1</v>
      </c>
      <c r="X989">
        <f>IF($R$990/W989&gt;$R$989,FALSE,W989)</f>
        <v>1</v>
      </c>
      <c r="Y989" t="e">
        <f>IF(AND($T$989=505,$R$992/W989&gt;505),FALSE,W989)</f>
        <v>#N/A</v>
      </c>
      <c r="Z989">
        <v>1</v>
      </c>
      <c r="AA989" t="e">
        <f>IF(R992&lt;VLOOKUP(Q989,A989:E1016,5,0),1,0)</f>
        <v>#N/A</v>
      </c>
      <c r="AC989" t="e">
        <f>IF(SUM(X989:AA989)=4,1,"")</f>
        <v>#N/A</v>
      </c>
    </row>
    <row r="990" spans="1:29" ht="15">
      <c r="A990" s="22" t="s">
        <v>33</v>
      </c>
      <c r="B990" s="13">
        <v>492</v>
      </c>
      <c r="C990">
        <v>88</v>
      </c>
      <c r="E990">
        <v>624</v>
      </c>
      <c r="F990">
        <v>87</v>
      </c>
      <c r="I990" s="353">
        <f t="shared" ref="I990:I1001" si="3">$K$957</f>
        <v>1.7708333333333333</v>
      </c>
      <c r="Q990" s="6" t="s">
        <v>900</v>
      </c>
      <c r="R990">
        <f>'Estimating Form'!D18+VLOOKUP(Q989,A989:I1016,9,0)*12</f>
        <v>24.1875</v>
      </c>
      <c r="W990" s="330">
        <v>2</v>
      </c>
      <c r="X990">
        <f>IF($R$990/W990&gt;$R$989,FALSE,W990)</f>
        <v>2</v>
      </c>
      <c r="Y990" t="e">
        <f>IF(AND($T$989=505,$R$992/W990&gt;505),FALSE,W990)</f>
        <v>#N/A</v>
      </c>
      <c r="Z990">
        <f>IF($R$990/W990&lt;$S$989,FALSE,W990)</f>
        <v>2</v>
      </c>
      <c r="AB990" t="e">
        <f>IF($R$992/W990&lt;VLOOKUP($Q$989,$A$989:$I$1016,6,0),0,2)</f>
        <v>#N/A</v>
      </c>
      <c r="AC990" t="e">
        <f>IF(SUM(X990:Z990)+AB990=8,2,"")</f>
        <v>#N/A</v>
      </c>
    </row>
    <row r="991" spans="1:29" ht="15">
      <c r="A991" s="21" t="s">
        <v>36</v>
      </c>
      <c r="B991">
        <v>594</v>
      </c>
      <c r="C991">
        <v>88</v>
      </c>
      <c r="E991">
        <v>624</v>
      </c>
      <c r="F991">
        <v>87</v>
      </c>
      <c r="I991" s="353">
        <f t="shared" si="3"/>
        <v>1.7708333333333333</v>
      </c>
      <c r="Q991" s="6" t="s">
        <v>946</v>
      </c>
      <c r="R991" t="e">
        <f>R990/'Estimating Form'!C48</f>
        <v>#DIV/0!</v>
      </c>
      <c r="W991" s="330">
        <v>3</v>
      </c>
      <c r="X991">
        <f>IF($R$990/W991&gt;$R$989,FALSE,W991)</f>
        <v>3</v>
      </c>
      <c r="Y991" t="e">
        <f>IF(AND($T$989=505,$R$992/W991&gt;505),FALSE,W991)</f>
        <v>#N/A</v>
      </c>
      <c r="Z991">
        <f t="shared" ref="Z991:Z995" si="4">IF($R$990/W991&lt;$S$989,FALSE,W991)</f>
        <v>3</v>
      </c>
      <c r="AB991" t="e">
        <f>IF($R$992/W991&lt;VLOOKUP($Q$989,$A$989:$I$1016,6,0),0,3)</f>
        <v>#N/A</v>
      </c>
      <c r="AC991" t="e">
        <f>IF(SUM(X991:Z991)+AB991=12,3,"")</f>
        <v>#N/A</v>
      </c>
    </row>
    <row r="992" spans="1:29" ht="15">
      <c r="A992" s="21" t="s">
        <v>39</v>
      </c>
      <c r="B992">
        <v>594</v>
      </c>
      <c r="C992">
        <v>88</v>
      </c>
      <c r="E992">
        <v>624</v>
      </c>
      <c r="F992">
        <v>87</v>
      </c>
      <c r="I992" s="353">
        <f t="shared" si="3"/>
        <v>1.7708333333333333</v>
      </c>
      <c r="Q992" s="6" t="s">
        <v>901</v>
      </c>
      <c r="R992" t="e">
        <f>'Estimating Form'!G83*12</f>
        <v>#N/A</v>
      </c>
      <c r="W992" s="330">
        <v>4</v>
      </c>
      <c r="X992">
        <f t="shared" ref="X992:X997" si="5">IF($R$990/W992&gt;$R$989,FALSE,W992)</f>
        <v>4</v>
      </c>
      <c r="Y992" t="e">
        <f t="shared" ref="Y992:Y997" si="6">IF(AND($T$989=505,$R$992/W992&gt;505),FALSE,W992)</f>
        <v>#N/A</v>
      </c>
      <c r="Z992">
        <f t="shared" si="4"/>
        <v>4</v>
      </c>
      <c r="AB992" t="e">
        <f>IF($R$992/W992&lt;VLOOKUP($Q$989,$A$989:$I$1016,6,0),0,4)</f>
        <v>#N/A</v>
      </c>
      <c r="AC992" t="e">
        <f>IF(SUM(X992:Z992)+AB992=16,4,"")</f>
        <v>#N/A</v>
      </c>
    </row>
    <row r="993" spans="1:29" ht="15">
      <c r="A993" s="22" t="s">
        <v>42</v>
      </c>
      <c r="B993" s="13">
        <v>594</v>
      </c>
      <c r="C993">
        <v>88</v>
      </c>
      <c r="E993">
        <v>624</v>
      </c>
      <c r="F993">
        <v>87</v>
      </c>
      <c r="I993" s="353">
        <f t="shared" si="3"/>
        <v>1.7708333333333333</v>
      </c>
      <c r="W993" s="330">
        <v>5</v>
      </c>
      <c r="X993">
        <f t="shared" si="5"/>
        <v>5</v>
      </c>
      <c r="Y993" t="e">
        <f t="shared" si="6"/>
        <v>#N/A</v>
      </c>
      <c r="Z993">
        <f t="shared" si="4"/>
        <v>5</v>
      </c>
      <c r="AB993" t="e">
        <f>IF($R$992/W993&lt;VLOOKUP($Q$989,$A$989:$I$1016,6,0),0,5)</f>
        <v>#N/A</v>
      </c>
      <c r="AC993" t="e">
        <f>IF(SUM(X993:Z993)+AB993=20,5,"")</f>
        <v>#N/A</v>
      </c>
    </row>
    <row r="994" spans="1:29" ht="15">
      <c r="A994" s="21" t="s">
        <v>44</v>
      </c>
      <c r="B994">
        <v>630</v>
      </c>
      <c r="C994">
        <v>88</v>
      </c>
      <c r="E994">
        <v>624</v>
      </c>
      <c r="F994">
        <v>87</v>
      </c>
      <c r="I994" s="353">
        <f t="shared" si="3"/>
        <v>1.7708333333333333</v>
      </c>
      <c r="W994" s="330">
        <v>6</v>
      </c>
      <c r="X994">
        <f t="shared" si="5"/>
        <v>6</v>
      </c>
      <c r="Y994" t="e">
        <f t="shared" si="6"/>
        <v>#N/A</v>
      </c>
      <c r="Z994">
        <f>IF($R$990/W994&lt;$S$989,FALSE,W994)</f>
        <v>6</v>
      </c>
      <c r="AB994" t="e">
        <f>IF($R$992/W994&lt;VLOOKUP($Q$989,$A$989:$I$1016,6,0),0,6)</f>
        <v>#N/A</v>
      </c>
      <c r="AC994" t="e">
        <f>IF(SUM(X994:Z994)+AB994=24,6,"")</f>
        <v>#N/A</v>
      </c>
    </row>
    <row r="995" spans="1:29" ht="15">
      <c r="A995" s="21" t="s">
        <v>45</v>
      </c>
      <c r="B995">
        <v>630</v>
      </c>
      <c r="C995">
        <v>88</v>
      </c>
      <c r="E995">
        <v>624</v>
      </c>
      <c r="F995">
        <v>87</v>
      </c>
      <c r="I995" s="353">
        <f t="shared" si="3"/>
        <v>1.7708333333333333</v>
      </c>
      <c r="Q995" s="6"/>
      <c r="W995" s="330">
        <v>7</v>
      </c>
      <c r="X995">
        <f t="shared" si="5"/>
        <v>7</v>
      </c>
      <c r="Y995" t="e">
        <f t="shared" si="6"/>
        <v>#N/A</v>
      </c>
      <c r="Z995">
        <f t="shared" si="4"/>
        <v>7</v>
      </c>
      <c r="AB995" t="e">
        <f>IF($R$992/W995&lt;VLOOKUP($Q$989,$A$989:$I$1016,6,0),0,7)</f>
        <v>#N/A</v>
      </c>
      <c r="AC995" t="e">
        <f>IF(SUM(X995:Z995)+AB995=28,7,"")</f>
        <v>#N/A</v>
      </c>
    </row>
    <row r="996" spans="1:29" ht="15">
      <c r="A996" s="21" t="s">
        <v>47</v>
      </c>
      <c r="B996">
        <v>630</v>
      </c>
      <c r="C996">
        <v>88</v>
      </c>
      <c r="E996">
        <v>624</v>
      </c>
      <c r="F996">
        <v>87</v>
      </c>
      <c r="I996" s="353">
        <f t="shared" si="3"/>
        <v>1.7708333333333333</v>
      </c>
      <c r="W996" s="330">
        <v>8</v>
      </c>
      <c r="X996">
        <f t="shared" si="5"/>
        <v>8</v>
      </c>
      <c r="Y996" t="e">
        <f t="shared" si="6"/>
        <v>#N/A</v>
      </c>
      <c r="Z996">
        <f t="shared" ref="Z996:Z997" si="7">IF($R$990/W996&lt;$S$989,FALSE,W996)</f>
        <v>8</v>
      </c>
      <c r="AB996" t="e">
        <f>IF($R$992/W996&lt;VLOOKUP($Q$989,$A$989:$I$1016,6,0),0,8)</f>
        <v>#N/A</v>
      </c>
      <c r="AC996" t="e">
        <f>IF(SUM(X996:Z996)+AB996=32,8,"")</f>
        <v>#N/A</v>
      </c>
    </row>
    <row r="997" spans="1:29" ht="15">
      <c r="A997" s="22" t="s">
        <v>50</v>
      </c>
      <c r="B997" s="13">
        <v>234</v>
      </c>
      <c r="C997">
        <v>88</v>
      </c>
      <c r="E997">
        <v>624</v>
      </c>
      <c r="F997">
        <v>87</v>
      </c>
      <c r="I997" s="353">
        <f t="shared" si="3"/>
        <v>1.7708333333333333</v>
      </c>
      <c r="W997" s="330">
        <v>9</v>
      </c>
      <c r="X997">
        <f t="shared" si="5"/>
        <v>9</v>
      </c>
      <c r="Y997" t="e">
        <f t="shared" si="6"/>
        <v>#N/A</v>
      </c>
      <c r="Z997">
        <f t="shared" si="7"/>
        <v>9</v>
      </c>
      <c r="AB997" t="e">
        <f>IF($R$992/W997&lt;VLOOKUP($Q$989,$A$989:$I$1016,6,0),0,9)</f>
        <v>#N/A</v>
      </c>
      <c r="AC997" t="e">
        <f>IF(SUM(X997:Z997)+AB997=36,9,"")</f>
        <v>#N/A</v>
      </c>
    </row>
    <row r="998" spans="1:29">
      <c r="A998" s="21" t="s">
        <v>27</v>
      </c>
      <c r="B998">
        <v>630</v>
      </c>
      <c r="C998">
        <v>100</v>
      </c>
      <c r="E998">
        <v>624</v>
      </c>
      <c r="F998">
        <v>87</v>
      </c>
      <c r="I998" s="353">
        <f t="shared" si="3"/>
        <v>1.7708333333333333</v>
      </c>
    </row>
    <row r="999" spans="1:29">
      <c r="A999" s="21" t="s">
        <v>53</v>
      </c>
      <c r="B999">
        <v>630</v>
      </c>
      <c r="C999">
        <v>100</v>
      </c>
      <c r="E999">
        <v>624</v>
      </c>
      <c r="F999">
        <v>87</v>
      </c>
      <c r="I999" s="353">
        <f t="shared" si="3"/>
        <v>1.7708333333333333</v>
      </c>
    </row>
    <row r="1000" spans="1:29">
      <c r="A1000" s="21" t="s">
        <v>54</v>
      </c>
      <c r="B1000">
        <v>630</v>
      </c>
      <c r="C1000">
        <v>100</v>
      </c>
      <c r="E1000">
        <v>624</v>
      </c>
      <c r="F1000">
        <v>87</v>
      </c>
      <c r="I1000" s="353">
        <f t="shared" si="3"/>
        <v>1.7708333333333333</v>
      </c>
    </row>
    <row r="1001" spans="1:29">
      <c r="A1001" s="22" t="s">
        <v>55</v>
      </c>
      <c r="B1001" s="13">
        <v>630</v>
      </c>
      <c r="C1001">
        <v>100</v>
      </c>
      <c r="E1001">
        <v>624</v>
      </c>
      <c r="F1001">
        <v>87</v>
      </c>
      <c r="I1001" s="353">
        <f t="shared" si="3"/>
        <v>1.7708333333333333</v>
      </c>
    </row>
    <row r="1002" spans="1:29">
      <c r="A1002" s="21" t="s">
        <v>56</v>
      </c>
      <c r="B1002">
        <v>630</v>
      </c>
      <c r="C1002">
        <v>100</v>
      </c>
      <c r="E1002">
        <v>397</v>
      </c>
      <c r="I1002" s="353">
        <f>$O$957</f>
        <v>1.7760416666666667</v>
      </c>
    </row>
    <row r="1003" spans="1:29">
      <c r="A1003" s="21" t="s">
        <v>57</v>
      </c>
      <c r="B1003">
        <v>630</v>
      </c>
      <c r="C1003">
        <v>100</v>
      </c>
      <c r="E1003">
        <v>397</v>
      </c>
      <c r="I1003" s="353">
        <f t="shared" ref="I1003:I1008" si="8">$O$957</f>
        <v>1.7760416666666667</v>
      </c>
    </row>
    <row r="1004" spans="1:29">
      <c r="A1004" s="23" t="s">
        <v>59</v>
      </c>
      <c r="B1004">
        <v>630</v>
      </c>
      <c r="C1004">
        <v>100</v>
      </c>
      <c r="E1004">
        <v>397</v>
      </c>
      <c r="I1004" s="353">
        <f t="shared" si="8"/>
        <v>1.7760416666666667</v>
      </c>
    </row>
    <row r="1005" spans="1:29">
      <c r="A1005" s="24" t="s">
        <v>58</v>
      </c>
      <c r="B1005" s="13">
        <v>630</v>
      </c>
      <c r="C1005">
        <v>100</v>
      </c>
      <c r="E1005">
        <v>397</v>
      </c>
      <c r="I1005" s="353">
        <f t="shared" si="8"/>
        <v>1.7760416666666667</v>
      </c>
    </row>
    <row r="1006" spans="1:29">
      <c r="A1006" s="21" t="s">
        <v>60</v>
      </c>
      <c r="B1006">
        <v>630</v>
      </c>
      <c r="C1006">
        <v>100</v>
      </c>
      <c r="E1006">
        <v>397</v>
      </c>
      <c r="I1006" s="353">
        <f t="shared" si="8"/>
        <v>1.7760416666666667</v>
      </c>
    </row>
    <row r="1007" spans="1:29">
      <c r="A1007" s="21" t="s">
        <v>61</v>
      </c>
      <c r="B1007">
        <v>630</v>
      </c>
      <c r="C1007">
        <v>100</v>
      </c>
      <c r="E1007">
        <v>397</v>
      </c>
      <c r="I1007" s="353">
        <f t="shared" si="8"/>
        <v>1.7760416666666667</v>
      </c>
    </row>
    <row r="1008" spans="1:29">
      <c r="A1008" s="24" t="s">
        <v>70</v>
      </c>
      <c r="B1008" s="13">
        <v>630</v>
      </c>
      <c r="C1008">
        <v>100</v>
      </c>
      <c r="E1008">
        <v>397</v>
      </c>
      <c r="I1008" s="353">
        <f t="shared" si="8"/>
        <v>1.7760416666666667</v>
      </c>
    </row>
    <row r="1009" spans="1:18">
      <c r="A1009" s="21" t="s">
        <v>62</v>
      </c>
      <c r="B1009">
        <v>537</v>
      </c>
      <c r="C1009">
        <v>100</v>
      </c>
      <c r="D1009">
        <v>505</v>
      </c>
      <c r="E1009">
        <v>397</v>
      </c>
      <c r="I1009" s="353">
        <f>$Q$957</f>
        <v>1.90625</v>
      </c>
    </row>
    <row r="1010" spans="1:18">
      <c r="A1010" s="22" t="s">
        <v>63</v>
      </c>
      <c r="B1010" s="13">
        <v>537</v>
      </c>
      <c r="C1010">
        <v>100</v>
      </c>
      <c r="D1010">
        <v>505</v>
      </c>
      <c r="E1010">
        <v>397</v>
      </c>
      <c r="I1010" s="353">
        <f>$Q$957</f>
        <v>1.90625</v>
      </c>
    </row>
    <row r="1011" spans="1:18">
      <c r="A1011" s="21" t="s">
        <v>64</v>
      </c>
      <c r="B1011">
        <v>537</v>
      </c>
      <c r="C1011">
        <v>100</v>
      </c>
      <c r="D1011">
        <v>505</v>
      </c>
      <c r="E1011">
        <v>397</v>
      </c>
      <c r="I1011" s="353">
        <f>$R$957</f>
        <v>1.9479166666666667</v>
      </c>
    </row>
    <row r="1012" spans="1:18">
      <c r="A1012" s="21" t="s">
        <v>65</v>
      </c>
      <c r="B1012">
        <v>537</v>
      </c>
      <c r="C1012">
        <v>100</v>
      </c>
      <c r="D1012">
        <v>505</v>
      </c>
      <c r="E1012">
        <v>397</v>
      </c>
      <c r="I1012" s="353">
        <f t="shared" ref="I1012:I1013" si="9">$R$957</f>
        <v>1.9479166666666667</v>
      </c>
    </row>
    <row r="1013" spans="1:18">
      <c r="A1013" s="22" t="s">
        <v>66</v>
      </c>
      <c r="B1013" s="13">
        <v>537</v>
      </c>
      <c r="C1013">
        <v>100</v>
      </c>
      <c r="D1013">
        <v>505</v>
      </c>
      <c r="E1013">
        <v>397</v>
      </c>
      <c r="I1013" s="353">
        <f t="shared" si="9"/>
        <v>1.9479166666666667</v>
      </c>
      <c r="Q1013">
        <v>55</v>
      </c>
      <c r="R1013">
        <f>Q1013+1</f>
        <v>56</v>
      </c>
    </row>
    <row r="1014" spans="1:18">
      <c r="A1014" s="21" t="s">
        <v>67</v>
      </c>
      <c r="B1014">
        <v>449</v>
      </c>
      <c r="D1014">
        <v>505</v>
      </c>
      <c r="E1014">
        <v>397</v>
      </c>
      <c r="I1014" s="353">
        <f>$S$957</f>
        <v>2</v>
      </c>
      <c r="Q1014">
        <f>Q1013+33</f>
        <v>88</v>
      </c>
      <c r="R1014">
        <f t="shared" ref="R1014:R1041" si="10">Q1014+1</f>
        <v>89</v>
      </c>
    </row>
    <row r="1015" spans="1:18">
      <c r="A1015" s="22" t="s">
        <v>68</v>
      </c>
      <c r="B1015" s="13">
        <v>449</v>
      </c>
      <c r="D1015">
        <v>505</v>
      </c>
      <c r="E1015">
        <v>397</v>
      </c>
      <c r="I1015" s="353">
        <f>$S$957</f>
        <v>2</v>
      </c>
      <c r="Q1015">
        <f t="shared" ref="Q1015:Q1041" si="11">Q1014+33</f>
        <v>121</v>
      </c>
      <c r="R1015">
        <f t="shared" si="10"/>
        <v>122</v>
      </c>
    </row>
    <row r="1016" spans="1:18">
      <c r="A1016" s="22" t="s">
        <v>69</v>
      </c>
      <c r="B1016" s="14">
        <v>449</v>
      </c>
      <c r="D1016">
        <v>505</v>
      </c>
      <c r="E1016">
        <v>397</v>
      </c>
      <c r="I1016" s="353">
        <f>$T$957</f>
        <v>2.015625</v>
      </c>
      <c r="Q1016">
        <f t="shared" si="11"/>
        <v>154</v>
      </c>
      <c r="R1016">
        <f t="shared" si="10"/>
        <v>155</v>
      </c>
    </row>
    <row r="1017" spans="1:18">
      <c r="Q1017">
        <f t="shared" si="11"/>
        <v>187</v>
      </c>
      <c r="R1017">
        <f t="shared" si="10"/>
        <v>188</v>
      </c>
    </row>
    <row r="1018" spans="1:18">
      <c r="Q1018">
        <f t="shared" si="11"/>
        <v>220</v>
      </c>
      <c r="R1018">
        <f t="shared" si="10"/>
        <v>221</v>
      </c>
    </row>
    <row r="1019" spans="1:18">
      <c r="Q1019">
        <f t="shared" si="11"/>
        <v>253</v>
      </c>
      <c r="R1019">
        <f t="shared" si="10"/>
        <v>254</v>
      </c>
    </row>
    <row r="1020" spans="1:18">
      <c r="D1020" s="4" t="s">
        <v>15</v>
      </c>
      <c r="E1020" t="s">
        <v>910</v>
      </c>
      <c r="F1020" t="s">
        <v>911</v>
      </c>
      <c r="Q1020">
        <f t="shared" si="11"/>
        <v>286</v>
      </c>
      <c r="R1020">
        <f t="shared" si="10"/>
        <v>287</v>
      </c>
    </row>
    <row r="1021" spans="1:18">
      <c r="D1021" s="21" t="s">
        <v>30</v>
      </c>
      <c r="E1021" s="356">
        <f>E22</f>
        <v>0.96238335738335734</v>
      </c>
      <c r="F1021" s="356">
        <f>E23</f>
        <v>1.6306216931216932</v>
      </c>
      <c r="Q1021">
        <f t="shared" si="11"/>
        <v>319</v>
      </c>
      <c r="R1021">
        <f t="shared" si="10"/>
        <v>320</v>
      </c>
    </row>
    <row r="1022" spans="1:18">
      <c r="D1022" s="22" t="s">
        <v>33</v>
      </c>
      <c r="E1022" s="356">
        <f>E55</f>
        <v>2.5184199134199128</v>
      </c>
      <c r="F1022" s="356">
        <f>E56</f>
        <v>3.3422619047619042</v>
      </c>
      <c r="Q1022">
        <f t="shared" si="11"/>
        <v>352</v>
      </c>
      <c r="R1022">
        <f t="shared" si="10"/>
        <v>353</v>
      </c>
    </row>
    <row r="1023" spans="1:18">
      <c r="D1023" s="21" t="s">
        <v>36</v>
      </c>
      <c r="E1023" s="356">
        <f>E88</f>
        <v>1.8775636302746146</v>
      </c>
      <c r="F1023" s="356">
        <f>E89</f>
        <v>2.6373199933020763</v>
      </c>
      <c r="Q1023">
        <f t="shared" si="11"/>
        <v>385</v>
      </c>
      <c r="R1023">
        <f t="shared" si="10"/>
        <v>386</v>
      </c>
    </row>
    <row r="1024" spans="1:18">
      <c r="D1024" s="21" t="s">
        <v>39</v>
      </c>
      <c r="E1024" s="356">
        <f>E121</f>
        <v>1.8775636302746146</v>
      </c>
      <c r="F1024" s="356">
        <f>E122</f>
        <v>2.6373199933020763</v>
      </c>
      <c r="Q1024">
        <f t="shared" si="11"/>
        <v>418</v>
      </c>
      <c r="R1024">
        <f t="shared" si="10"/>
        <v>419</v>
      </c>
    </row>
    <row r="1025" spans="4:18">
      <c r="D1025" s="22" t="s">
        <v>42</v>
      </c>
      <c r="E1025" s="356">
        <f>E154</f>
        <v>1.8775636302746146</v>
      </c>
      <c r="F1025" s="356">
        <f>E155</f>
        <v>2.6373199933020763</v>
      </c>
      <c r="Q1025">
        <f t="shared" si="11"/>
        <v>451</v>
      </c>
      <c r="R1025">
        <f t="shared" si="10"/>
        <v>452</v>
      </c>
    </row>
    <row r="1026" spans="4:18">
      <c r="D1026" s="21" t="s">
        <v>44</v>
      </c>
      <c r="E1026" s="356">
        <f>E187</f>
        <v>1.0285885788449058</v>
      </c>
      <c r="F1026" s="356">
        <f>E188</f>
        <v>1.7034474367293966</v>
      </c>
      <c r="Q1026">
        <f t="shared" si="11"/>
        <v>484</v>
      </c>
      <c r="R1026">
        <f t="shared" si="10"/>
        <v>485</v>
      </c>
    </row>
    <row r="1027" spans="4:18">
      <c r="D1027" s="21" t="s">
        <v>45</v>
      </c>
      <c r="E1027" s="356">
        <f>E220</f>
        <v>1.0285885788449058</v>
      </c>
      <c r="F1027" s="356">
        <f>E221</f>
        <v>1.7034474367293966</v>
      </c>
      <c r="Q1027">
        <f t="shared" si="11"/>
        <v>517</v>
      </c>
      <c r="R1027">
        <f t="shared" si="10"/>
        <v>518</v>
      </c>
    </row>
    <row r="1028" spans="4:18">
      <c r="D1028" s="21" t="s">
        <v>47</v>
      </c>
      <c r="E1028" s="356">
        <f>E253</f>
        <v>1.0285885788449058</v>
      </c>
      <c r="F1028" s="356">
        <f>E254</f>
        <v>1.7034474367293966</v>
      </c>
      <c r="Q1028">
        <f t="shared" si="11"/>
        <v>550</v>
      </c>
      <c r="R1028">
        <f t="shared" si="10"/>
        <v>551</v>
      </c>
    </row>
    <row r="1029" spans="4:18">
      <c r="D1029" s="22" t="s">
        <v>50</v>
      </c>
      <c r="E1029" s="356">
        <f>E286</f>
        <v>1.0285885788449058</v>
      </c>
      <c r="F1029" s="356">
        <f>E287</f>
        <v>1.7034474367293966</v>
      </c>
      <c r="Q1029">
        <f t="shared" si="11"/>
        <v>583</v>
      </c>
      <c r="R1029">
        <f t="shared" si="10"/>
        <v>584</v>
      </c>
    </row>
    <row r="1030" spans="4:18">
      <c r="D1030" s="21" t="s">
        <v>27</v>
      </c>
      <c r="E1030" s="356">
        <f>E319</f>
        <v>0.56373069936421416</v>
      </c>
      <c r="F1030" s="356">
        <f>E320</f>
        <v>1.1921037693006358</v>
      </c>
      <c r="Q1030">
        <f t="shared" si="11"/>
        <v>616</v>
      </c>
      <c r="R1030">
        <f t="shared" si="10"/>
        <v>617</v>
      </c>
    </row>
    <row r="1031" spans="4:18">
      <c r="D1031" s="21" t="s">
        <v>53</v>
      </c>
      <c r="E1031" s="356">
        <f>E352</f>
        <v>0.56373069936421416</v>
      </c>
      <c r="F1031" s="356">
        <f>E353</f>
        <v>1.1921037693006358</v>
      </c>
      <c r="Q1031">
        <f t="shared" si="11"/>
        <v>649</v>
      </c>
      <c r="R1031">
        <f t="shared" si="10"/>
        <v>650</v>
      </c>
    </row>
    <row r="1032" spans="4:18">
      <c r="D1032" s="21" t="s">
        <v>54</v>
      </c>
      <c r="E1032" s="356">
        <f>E385</f>
        <v>0.56373069936421416</v>
      </c>
      <c r="F1032" s="356">
        <f>E386</f>
        <v>1.1921037693006358</v>
      </c>
      <c r="Q1032">
        <f t="shared" si="11"/>
        <v>682</v>
      </c>
      <c r="R1032">
        <f t="shared" si="10"/>
        <v>683</v>
      </c>
    </row>
    <row r="1033" spans="4:18">
      <c r="D1033" s="22" t="s">
        <v>55</v>
      </c>
      <c r="E1033" s="356">
        <f>E418</f>
        <v>0.56373069936421416</v>
      </c>
      <c r="F1033" s="356">
        <f>E419</f>
        <v>1.1921037693006358</v>
      </c>
      <c r="Q1033">
        <f t="shared" si="11"/>
        <v>715</v>
      </c>
      <c r="R1033">
        <f t="shared" si="10"/>
        <v>716</v>
      </c>
    </row>
    <row r="1034" spans="4:18">
      <c r="D1034" s="21" t="s">
        <v>56</v>
      </c>
      <c r="E1034" s="356">
        <f>E451</f>
        <v>0.29533671534338668</v>
      </c>
      <c r="F1034" s="356">
        <f>E452</f>
        <v>0.89687038687772547</v>
      </c>
      <c r="Q1034">
        <f t="shared" si="11"/>
        <v>748</v>
      </c>
      <c r="R1034">
        <f t="shared" si="10"/>
        <v>749</v>
      </c>
    </row>
    <row r="1035" spans="4:18">
      <c r="D1035" s="21" t="s">
        <v>57</v>
      </c>
      <c r="E1035" s="356">
        <f>E484</f>
        <v>0.29533671534338668</v>
      </c>
      <c r="F1035" s="356">
        <f>E485</f>
        <v>0.89687038687772547</v>
      </c>
      <c r="Q1035">
        <f t="shared" si="11"/>
        <v>781</v>
      </c>
      <c r="R1035">
        <f t="shared" si="10"/>
        <v>782</v>
      </c>
    </row>
    <row r="1036" spans="4:18">
      <c r="D1036" s="23" t="s">
        <v>59</v>
      </c>
      <c r="E1036" s="356">
        <f>E517</f>
        <v>0.29533671534338668</v>
      </c>
      <c r="F1036" s="356">
        <f>E518</f>
        <v>0.89687038687772547</v>
      </c>
      <c r="Q1036">
        <f t="shared" si="11"/>
        <v>814</v>
      </c>
      <c r="R1036">
        <f t="shared" si="10"/>
        <v>815</v>
      </c>
    </row>
    <row r="1037" spans="4:18">
      <c r="D1037" s="24" t="s">
        <v>58</v>
      </c>
      <c r="E1037" s="356">
        <f>E550</f>
        <v>0.29533671534338668</v>
      </c>
      <c r="F1037" s="356">
        <f>E551</f>
        <v>0.89687038687772547</v>
      </c>
      <c r="Q1037">
        <f t="shared" si="11"/>
        <v>847</v>
      </c>
      <c r="R1037">
        <f t="shared" si="10"/>
        <v>848</v>
      </c>
    </row>
    <row r="1038" spans="4:18">
      <c r="D1038" s="21" t="s">
        <v>60</v>
      </c>
      <c r="E1038" s="356">
        <f>E583</f>
        <v>0.11453827017568663</v>
      </c>
      <c r="F1038" s="356">
        <f>E584</f>
        <v>0.69799209719325539</v>
      </c>
      <c r="Q1038">
        <f t="shared" si="11"/>
        <v>880</v>
      </c>
      <c r="R1038">
        <f t="shared" si="10"/>
        <v>881</v>
      </c>
    </row>
    <row r="1039" spans="4:18">
      <c r="D1039" s="21" t="s">
        <v>61</v>
      </c>
      <c r="E1039" s="356">
        <f>E616</f>
        <v>0.11453827017568663</v>
      </c>
      <c r="F1039" s="356">
        <f>E617</f>
        <v>0.69799209719325539</v>
      </c>
      <c r="Q1039">
        <f t="shared" si="11"/>
        <v>913</v>
      </c>
      <c r="R1039">
        <f t="shared" si="10"/>
        <v>914</v>
      </c>
    </row>
    <row r="1040" spans="4:18">
      <c r="D1040" s="24" t="s">
        <v>70</v>
      </c>
      <c r="E1040" s="356">
        <f>E649</f>
        <v>0.11453827017568663</v>
      </c>
      <c r="F1040" s="356">
        <f>E650</f>
        <v>0.69799209719325539</v>
      </c>
      <c r="Q1040">
        <f t="shared" si="11"/>
        <v>946</v>
      </c>
      <c r="R1040">
        <f t="shared" si="10"/>
        <v>947</v>
      </c>
    </row>
    <row r="1041" spans="4:18">
      <c r="D1041" s="21" t="s">
        <v>62</v>
      </c>
      <c r="E1041" s="356">
        <f>E682</f>
        <v>2.5051169797442485E-2</v>
      </c>
      <c r="F1041" s="356">
        <f>E683</f>
        <v>0.59955628677718675</v>
      </c>
      <c r="Q1041">
        <f t="shared" si="11"/>
        <v>979</v>
      </c>
      <c r="R1041">
        <f t="shared" si="10"/>
        <v>980</v>
      </c>
    </row>
    <row r="1042" spans="4:18">
      <c r="D1042" s="22" t="s">
        <v>63</v>
      </c>
      <c r="E1042" s="356">
        <f>E715</f>
        <v>2.5051169797442485E-2</v>
      </c>
      <c r="F1042" s="356">
        <f>E716</f>
        <v>0.59955628677718675</v>
      </c>
    </row>
    <row r="1043" spans="4:18">
      <c r="D1043" s="21" t="s">
        <v>64</v>
      </c>
      <c r="E1043" s="356">
        <f>E748</f>
        <v>-7.4861315230171033E-2</v>
      </c>
      <c r="F1043" s="356">
        <f>E749</f>
        <v>0.48965255324681195</v>
      </c>
    </row>
    <row r="1044" spans="4:18">
      <c r="D1044" s="21" t="s">
        <v>65</v>
      </c>
      <c r="E1044" s="356">
        <f>E781</f>
        <v>-7.4861315230171033E-2</v>
      </c>
      <c r="F1044" s="356">
        <f>E782</f>
        <v>0.48965255324681195</v>
      </c>
    </row>
    <row r="1045" spans="4:18">
      <c r="D1045" s="22" t="s">
        <v>66</v>
      </c>
      <c r="E1045" s="356">
        <f>E814</f>
        <v>-7.4861315230171033E-2</v>
      </c>
      <c r="F1045" s="356">
        <f>E815</f>
        <v>0.48965255324681195</v>
      </c>
    </row>
    <row r="1046" spans="4:18">
      <c r="D1046" s="21" t="s">
        <v>67</v>
      </c>
      <c r="E1046" s="356">
        <f>E847</f>
        <v>-0.19641291210770234</v>
      </c>
      <c r="F1046" s="356">
        <f>E848</f>
        <v>0.35594579668152748</v>
      </c>
    </row>
    <row r="1047" spans="4:18">
      <c r="D1047" s="22" t="s">
        <v>68</v>
      </c>
      <c r="E1047" s="356">
        <f>E880</f>
        <v>-0.19641291210770234</v>
      </c>
      <c r="F1047" s="356">
        <f>E881</f>
        <v>0.35594579668152748</v>
      </c>
    </row>
    <row r="1048" spans="4:18">
      <c r="D1048" s="22" t="s">
        <v>69</v>
      </c>
      <c r="E1048" s="356">
        <f>E913</f>
        <v>-0.3105405448825051</v>
      </c>
      <c r="F1048" s="356">
        <f>E914</f>
        <v>0.23040540062924442</v>
      </c>
    </row>
  </sheetData>
  <mergeCells count="196">
    <mergeCell ref="Y5:Z5"/>
    <mergeCell ref="Y38:Z38"/>
    <mergeCell ref="Y71:Z71"/>
    <mergeCell ref="Y104:Z104"/>
    <mergeCell ref="Y137:Z137"/>
    <mergeCell ref="Y170:Z170"/>
    <mergeCell ref="Y203:Z203"/>
    <mergeCell ref="Y236:Z236"/>
    <mergeCell ref="Y269:Z269"/>
    <mergeCell ref="Y302:Z302"/>
    <mergeCell ref="Y731:Z731"/>
    <mergeCell ref="Y335:Z335"/>
    <mergeCell ref="Y368:Z368"/>
    <mergeCell ref="Y401:Z401"/>
    <mergeCell ref="Y434:Z434"/>
    <mergeCell ref="Y467:Z467"/>
    <mergeCell ref="Y500:Z500"/>
    <mergeCell ref="Y764:Z764"/>
    <mergeCell ref="Y797:Z797"/>
    <mergeCell ref="Y830:Z830"/>
    <mergeCell ref="Y863:Z863"/>
    <mergeCell ref="Y533:Z533"/>
    <mergeCell ref="Y896:Z896"/>
    <mergeCell ref="Y566:Z566"/>
    <mergeCell ref="Y599:Z599"/>
    <mergeCell ref="Y632:Z632"/>
    <mergeCell ref="Y665:Z665"/>
    <mergeCell ref="Y698:Z698"/>
    <mergeCell ref="C22:D22"/>
    <mergeCell ref="C23:D23"/>
    <mergeCell ref="C24:C25"/>
    <mergeCell ref="D24:E25"/>
    <mergeCell ref="C224:C225"/>
    <mergeCell ref="D224:E225"/>
    <mergeCell ref="C26:C27"/>
    <mergeCell ref="D26:E27"/>
    <mergeCell ref="C55:D55"/>
    <mergeCell ref="C56:D56"/>
    <mergeCell ref="C57:C58"/>
    <mergeCell ref="D57:E58"/>
    <mergeCell ref="C59:C60"/>
    <mergeCell ref="D59:E60"/>
    <mergeCell ref="C88:D88"/>
    <mergeCell ref="C89:D89"/>
    <mergeCell ref="C90:C91"/>
    <mergeCell ref="D90:E91"/>
    <mergeCell ref="C92:C93"/>
    <mergeCell ref="D92:E93"/>
    <mergeCell ref="C121:D121"/>
    <mergeCell ref="C122:D122"/>
    <mergeCell ref="C123:C124"/>
    <mergeCell ref="D123:E124"/>
    <mergeCell ref="C125:C126"/>
    <mergeCell ref="D125:E126"/>
    <mergeCell ref="C154:D154"/>
    <mergeCell ref="C155:D155"/>
    <mergeCell ref="C156:C157"/>
    <mergeCell ref="D156:E157"/>
    <mergeCell ref="C158:C159"/>
    <mergeCell ref="D158:E159"/>
    <mergeCell ref="C187:D187"/>
    <mergeCell ref="C188:D188"/>
    <mergeCell ref="C189:C190"/>
    <mergeCell ref="D189:E190"/>
    <mergeCell ref="C191:C192"/>
    <mergeCell ref="D191:E192"/>
    <mergeCell ref="C220:D220"/>
    <mergeCell ref="C221:D221"/>
    <mergeCell ref="C222:C223"/>
    <mergeCell ref="D222:E223"/>
    <mergeCell ref="C253:D253"/>
    <mergeCell ref="C254:D254"/>
    <mergeCell ref="C255:C256"/>
    <mergeCell ref="D255:E256"/>
    <mergeCell ref="C257:C258"/>
    <mergeCell ref="D257:E258"/>
    <mergeCell ref="C286:D286"/>
    <mergeCell ref="C287:D287"/>
    <mergeCell ref="C288:C289"/>
    <mergeCell ref="D288:E289"/>
    <mergeCell ref="C290:C291"/>
    <mergeCell ref="D290:E291"/>
    <mergeCell ref="C319:D319"/>
    <mergeCell ref="C320:D320"/>
    <mergeCell ref="C321:C322"/>
    <mergeCell ref="D321:E322"/>
    <mergeCell ref="C323:C324"/>
    <mergeCell ref="D323:E324"/>
    <mergeCell ref="C352:D352"/>
    <mergeCell ref="C353:D353"/>
    <mergeCell ref="C354:C355"/>
    <mergeCell ref="D354:E355"/>
    <mergeCell ref="C356:C357"/>
    <mergeCell ref="D356:E357"/>
    <mergeCell ref="C385:D385"/>
    <mergeCell ref="C386:D386"/>
    <mergeCell ref="C387:C388"/>
    <mergeCell ref="D387:E388"/>
    <mergeCell ref="C389:C390"/>
    <mergeCell ref="D389:E390"/>
    <mergeCell ref="C418:D418"/>
    <mergeCell ref="C419:D419"/>
    <mergeCell ref="C420:C421"/>
    <mergeCell ref="D420:E421"/>
    <mergeCell ref="C422:C423"/>
    <mergeCell ref="D422:E423"/>
    <mergeCell ref="C451:D451"/>
    <mergeCell ref="C452:D452"/>
    <mergeCell ref="C453:C454"/>
    <mergeCell ref="D453:E454"/>
    <mergeCell ref="C455:C456"/>
    <mergeCell ref="D455:E456"/>
    <mergeCell ref="C484:D484"/>
    <mergeCell ref="C485:D485"/>
    <mergeCell ref="C486:C487"/>
    <mergeCell ref="D486:E487"/>
    <mergeCell ref="C488:C489"/>
    <mergeCell ref="D488:E489"/>
    <mergeCell ref="C517:D517"/>
    <mergeCell ref="C518:D518"/>
    <mergeCell ref="C519:C520"/>
    <mergeCell ref="D519:E520"/>
    <mergeCell ref="C521:C522"/>
    <mergeCell ref="D521:E522"/>
    <mergeCell ref="C550:D550"/>
    <mergeCell ref="C551:D551"/>
    <mergeCell ref="C552:C553"/>
    <mergeCell ref="D552:E553"/>
    <mergeCell ref="C554:C555"/>
    <mergeCell ref="D554:E555"/>
    <mergeCell ref="C583:D583"/>
    <mergeCell ref="C584:D584"/>
    <mergeCell ref="C585:C586"/>
    <mergeCell ref="D585:E586"/>
    <mergeCell ref="C587:C588"/>
    <mergeCell ref="D587:E588"/>
    <mergeCell ref="C616:D616"/>
    <mergeCell ref="C617:D617"/>
    <mergeCell ref="C618:C619"/>
    <mergeCell ref="D618:E619"/>
    <mergeCell ref="C620:C621"/>
    <mergeCell ref="D620:E621"/>
    <mergeCell ref="C649:D649"/>
    <mergeCell ref="C650:D650"/>
    <mergeCell ref="C651:C652"/>
    <mergeCell ref="D651:E652"/>
    <mergeCell ref="C653:C654"/>
    <mergeCell ref="D653:E654"/>
    <mergeCell ref="C682:D682"/>
    <mergeCell ref="C683:D683"/>
    <mergeCell ref="C684:C685"/>
    <mergeCell ref="D684:E685"/>
    <mergeCell ref="C686:C687"/>
    <mergeCell ref="D686:E687"/>
    <mergeCell ref="C715:D715"/>
    <mergeCell ref="C716:D716"/>
    <mergeCell ref="C717:C718"/>
    <mergeCell ref="D717:E718"/>
    <mergeCell ref="C719:C720"/>
    <mergeCell ref="D719:E720"/>
    <mergeCell ref="C748:D748"/>
    <mergeCell ref="C749:D749"/>
    <mergeCell ref="C750:C751"/>
    <mergeCell ref="D750:E751"/>
    <mergeCell ref="C752:C753"/>
    <mergeCell ref="D752:E753"/>
    <mergeCell ref="C781:D781"/>
    <mergeCell ref="C782:D782"/>
    <mergeCell ref="C783:C784"/>
    <mergeCell ref="D783:E784"/>
    <mergeCell ref="C785:C786"/>
    <mergeCell ref="D785:E786"/>
    <mergeCell ref="C814:D814"/>
    <mergeCell ref="C815:D815"/>
    <mergeCell ref="C816:C817"/>
    <mergeCell ref="D816:E817"/>
    <mergeCell ref="C818:C819"/>
    <mergeCell ref="D818:E819"/>
    <mergeCell ref="C847:D847"/>
    <mergeCell ref="C917:C918"/>
    <mergeCell ref="D917:E918"/>
    <mergeCell ref="C884:C885"/>
    <mergeCell ref="D884:E885"/>
    <mergeCell ref="C913:D913"/>
    <mergeCell ref="C914:D914"/>
    <mergeCell ref="C915:C916"/>
    <mergeCell ref="D915:E916"/>
    <mergeCell ref="C848:D848"/>
    <mergeCell ref="C849:C850"/>
    <mergeCell ref="D849:E850"/>
    <mergeCell ref="C851:C852"/>
    <mergeCell ref="D851:E852"/>
    <mergeCell ref="C880:D880"/>
    <mergeCell ref="C881:D881"/>
    <mergeCell ref="C882:C883"/>
    <mergeCell ref="D882:E883"/>
  </mergeCells>
  <phoneticPr fontId="0" type="noConversion"/>
  <conditionalFormatting sqref="B26 B59 B92 B125 B158 B191 B224 B257 B290 B323 B356 B389 B422 B455 B488 B521 B554 B587 B620 B653 B686 B719 B752 B785 B818 B851 B884 B917">
    <cfRule type="cellIs" dxfId="10" priority="28" stopIfTrue="1" operator="greaterThan">
      <formula>180</formula>
    </cfRule>
  </conditionalFormatting>
  <dataValidations disablePrompts="1" count="1">
    <dataValidation type="list" allowBlank="1" showInputMessage="1" showErrorMessage="1" sqref="A7 A40 A73 A106 A139 A172 A205 A238 A271 A304 A337 A370 A403 A436 A469 A502 A535 A568 A601 A634 A667 A700 A733 A766 A799 A832 A865 A898" xr:uid="{00000000-0002-0000-0200-000000000000}">
      <formula1>$M$6:$M$34</formula1>
    </dataValidation>
  </dataValidations>
  <pageMargins left="0.75" right="0.75" top="1" bottom="1" header="0.5" footer="0.5"/>
  <pageSetup scale="98"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1" filterMode="1"/>
  <dimension ref="A1:IV1280"/>
  <sheetViews>
    <sheetView zoomScaleNormal="100" workbookViewId="0">
      <pane xSplit="15" ySplit="11" topLeftCell="P12" activePane="bottomRight" state="frozen"/>
      <selection pane="topRight" activeCell="P1" sqref="P1"/>
      <selection pane="bottomLeft" activeCell="A12" sqref="A12"/>
      <selection pane="bottomRight" activeCell="P676" sqref="P676"/>
    </sheetView>
  </sheetViews>
  <sheetFormatPr defaultColWidth="9" defaultRowHeight="15"/>
  <cols>
    <col min="1" max="1" width="5.875" style="51" customWidth="1"/>
    <col min="2" max="2" width="7.875" style="51" customWidth="1"/>
    <col min="3" max="3" width="54.375" style="193" customWidth="1"/>
    <col min="4" max="4" width="12" style="85" customWidth="1"/>
    <col min="5" max="5" width="13.25" style="33" customWidth="1"/>
    <col min="6" max="6" width="21.875" style="33" customWidth="1"/>
    <col min="7" max="7" width="11.375" style="30" customWidth="1"/>
    <col min="8" max="8" width="13.25" style="206" customWidth="1"/>
    <col min="9" max="10" width="11.75" style="30" customWidth="1"/>
    <col min="11" max="12" width="9.375" style="30" customWidth="1"/>
    <col min="13" max="16" width="11" style="43" customWidth="1"/>
    <col min="17" max="17" width="9.375" style="30" customWidth="1"/>
    <col min="18" max="18" width="8" style="30" customWidth="1"/>
    <col min="19" max="19" width="9.625" style="30" bestFit="1" customWidth="1"/>
    <col min="20" max="256" width="9" style="30"/>
    <col min="257" max="257" width="5.875" style="30" customWidth="1"/>
    <col min="258" max="258" width="7.875" style="30" customWidth="1"/>
    <col min="259" max="259" width="54.375" style="30" customWidth="1"/>
    <col min="260" max="260" width="12" style="30" customWidth="1"/>
    <col min="261" max="261" width="13.25" style="30" customWidth="1"/>
    <col min="262" max="262" width="21.875" style="30" customWidth="1"/>
    <col min="263" max="263" width="11.375" style="30" customWidth="1"/>
    <col min="264" max="264" width="13.25" style="30" customWidth="1"/>
    <col min="265" max="266" width="11.75" style="30" customWidth="1"/>
    <col min="267" max="268" width="9.375" style="30" customWidth="1"/>
    <col min="269" max="272" width="11" style="30" customWidth="1"/>
    <col min="273" max="273" width="9.375" style="30" customWidth="1"/>
    <col min="274" max="274" width="8" style="30" customWidth="1"/>
    <col min="275" max="275" width="9.625" style="30" bestFit="1" customWidth="1"/>
    <col min="276" max="512" width="9" style="30"/>
    <col min="513" max="513" width="5.875" style="30" customWidth="1"/>
    <col min="514" max="514" width="7.875" style="30" customWidth="1"/>
    <col min="515" max="515" width="54.375" style="30" customWidth="1"/>
    <col min="516" max="516" width="12" style="30" customWidth="1"/>
    <col min="517" max="517" width="13.25" style="30" customWidth="1"/>
    <col min="518" max="518" width="21.875" style="30" customWidth="1"/>
    <col min="519" max="519" width="11.375" style="30" customWidth="1"/>
    <col min="520" max="520" width="13.25" style="30" customWidth="1"/>
    <col min="521" max="522" width="11.75" style="30" customWidth="1"/>
    <col min="523" max="524" width="9.375" style="30" customWidth="1"/>
    <col min="525" max="528" width="11" style="30" customWidth="1"/>
    <col min="529" max="529" width="9.375" style="30" customWidth="1"/>
    <col min="530" max="530" width="8" style="30" customWidth="1"/>
    <col min="531" max="531" width="9.625" style="30" bestFit="1" customWidth="1"/>
    <col min="532" max="768" width="9" style="30"/>
    <col min="769" max="769" width="5.875" style="30" customWidth="1"/>
    <col min="770" max="770" width="7.875" style="30" customWidth="1"/>
    <col min="771" max="771" width="54.375" style="30" customWidth="1"/>
    <col min="772" max="772" width="12" style="30" customWidth="1"/>
    <col min="773" max="773" width="13.25" style="30" customWidth="1"/>
    <col min="774" max="774" width="21.875" style="30" customWidth="1"/>
    <col min="775" max="775" width="11.375" style="30" customWidth="1"/>
    <col min="776" max="776" width="13.25" style="30" customWidth="1"/>
    <col min="777" max="778" width="11.75" style="30" customWidth="1"/>
    <col min="779" max="780" width="9.375" style="30" customWidth="1"/>
    <col min="781" max="784" width="11" style="30" customWidth="1"/>
    <col min="785" max="785" width="9.375" style="30" customWidth="1"/>
    <col min="786" max="786" width="8" style="30" customWidth="1"/>
    <col min="787" max="787" width="9.625" style="30" bestFit="1" customWidth="1"/>
    <col min="788" max="1024" width="9" style="30"/>
    <col min="1025" max="1025" width="5.875" style="30" customWidth="1"/>
    <col min="1026" max="1026" width="7.875" style="30" customWidth="1"/>
    <col min="1027" max="1027" width="54.375" style="30" customWidth="1"/>
    <col min="1028" max="1028" width="12" style="30" customWidth="1"/>
    <col min="1029" max="1029" width="13.25" style="30" customWidth="1"/>
    <col min="1030" max="1030" width="21.875" style="30" customWidth="1"/>
    <col min="1031" max="1031" width="11.375" style="30" customWidth="1"/>
    <col min="1032" max="1032" width="13.25" style="30" customWidth="1"/>
    <col min="1033" max="1034" width="11.75" style="30" customWidth="1"/>
    <col min="1035" max="1036" width="9.375" style="30" customWidth="1"/>
    <col min="1037" max="1040" width="11" style="30" customWidth="1"/>
    <col min="1041" max="1041" width="9.375" style="30" customWidth="1"/>
    <col min="1042" max="1042" width="8" style="30" customWidth="1"/>
    <col min="1043" max="1043" width="9.625" style="30" bestFit="1" customWidth="1"/>
    <col min="1044" max="1280" width="9" style="30"/>
    <col min="1281" max="1281" width="5.875" style="30" customWidth="1"/>
    <col min="1282" max="1282" width="7.875" style="30" customWidth="1"/>
    <col min="1283" max="1283" width="54.375" style="30" customWidth="1"/>
    <col min="1284" max="1284" width="12" style="30" customWidth="1"/>
    <col min="1285" max="1285" width="13.25" style="30" customWidth="1"/>
    <col min="1286" max="1286" width="21.875" style="30" customWidth="1"/>
    <col min="1287" max="1287" width="11.375" style="30" customWidth="1"/>
    <col min="1288" max="1288" width="13.25" style="30" customWidth="1"/>
    <col min="1289" max="1290" width="11.75" style="30" customWidth="1"/>
    <col min="1291" max="1292" width="9.375" style="30" customWidth="1"/>
    <col min="1293" max="1296" width="11" style="30" customWidth="1"/>
    <col min="1297" max="1297" width="9.375" style="30" customWidth="1"/>
    <col min="1298" max="1298" width="8" style="30" customWidth="1"/>
    <col min="1299" max="1299" width="9.625" style="30" bestFit="1" customWidth="1"/>
    <col min="1300" max="1536" width="9" style="30"/>
    <col min="1537" max="1537" width="5.875" style="30" customWidth="1"/>
    <col min="1538" max="1538" width="7.875" style="30" customWidth="1"/>
    <col min="1539" max="1539" width="54.375" style="30" customWidth="1"/>
    <col min="1540" max="1540" width="12" style="30" customWidth="1"/>
    <col min="1541" max="1541" width="13.25" style="30" customWidth="1"/>
    <col min="1542" max="1542" width="21.875" style="30" customWidth="1"/>
    <col min="1543" max="1543" width="11.375" style="30" customWidth="1"/>
    <col min="1544" max="1544" width="13.25" style="30" customWidth="1"/>
    <col min="1545" max="1546" width="11.75" style="30" customWidth="1"/>
    <col min="1547" max="1548" width="9.375" style="30" customWidth="1"/>
    <col min="1549" max="1552" width="11" style="30" customWidth="1"/>
    <col min="1553" max="1553" width="9.375" style="30" customWidth="1"/>
    <col min="1554" max="1554" width="8" style="30" customWidth="1"/>
    <col min="1555" max="1555" width="9.625" style="30" bestFit="1" customWidth="1"/>
    <col min="1556" max="1792" width="9" style="30"/>
    <col min="1793" max="1793" width="5.875" style="30" customWidth="1"/>
    <col min="1794" max="1794" width="7.875" style="30" customWidth="1"/>
    <col min="1795" max="1795" width="54.375" style="30" customWidth="1"/>
    <col min="1796" max="1796" width="12" style="30" customWidth="1"/>
    <col min="1797" max="1797" width="13.25" style="30" customWidth="1"/>
    <col min="1798" max="1798" width="21.875" style="30" customWidth="1"/>
    <col min="1799" max="1799" width="11.375" style="30" customWidth="1"/>
    <col min="1800" max="1800" width="13.25" style="30" customWidth="1"/>
    <col min="1801" max="1802" width="11.75" style="30" customWidth="1"/>
    <col min="1803" max="1804" width="9.375" style="30" customWidth="1"/>
    <col min="1805" max="1808" width="11" style="30" customWidth="1"/>
    <col min="1809" max="1809" width="9.375" style="30" customWidth="1"/>
    <col min="1810" max="1810" width="8" style="30" customWidth="1"/>
    <col min="1811" max="1811" width="9.625" style="30" bestFit="1" customWidth="1"/>
    <col min="1812" max="2048" width="9" style="30"/>
    <col min="2049" max="2049" width="5.875" style="30" customWidth="1"/>
    <col min="2050" max="2050" width="7.875" style="30" customWidth="1"/>
    <col min="2051" max="2051" width="54.375" style="30" customWidth="1"/>
    <col min="2052" max="2052" width="12" style="30" customWidth="1"/>
    <col min="2053" max="2053" width="13.25" style="30" customWidth="1"/>
    <col min="2054" max="2054" width="21.875" style="30" customWidth="1"/>
    <col min="2055" max="2055" width="11.375" style="30" customWidth="1"/>
    <col min="2056" max="2056" width="13.25" style="30" customWidth="1"/>
    <col min="2057" max="2058" width="11.75" style="30" customWidth="1"/>
    <col min="2059" max="2060" width="9.375" style="30" customWidth="1"/>
    <col min="2061" max="2064" width="11" style="30" customWidth="1"/>
    <col min="2065" max="2065" width="9.375" style="30" customWidth="1"/>
    <col min="2066" max="2066" width="8" style="30" customWidth="1"/>
    <col min="2067" max="2067" width="9.625" style="30" bestFit="1" customWidth="1"/>
    <col min="2068" max="2304" width="9" style="30"/>
    <col min="2305" max="2305" width="5.875" style="30" customWidth="1"/>
    <col min="2306" max="2306" width="7.875" style="30" customWidth="1"/>
    <col min="2307" max="2307" width="54.375" style="30" customWidth="1"/>
    <col min="2308" max="2308" width="12" style="30" customWidth="1"/>
    <col min="2309" max="2309" width="13.25" style="30" customWidth="1"/>
    <col min="2310" max="2310" width="21.875" style="30" customWidth="1"/>
    <col min="2311" max="2311" width="11.375" style="30" customWidth="1"/>
    <col min="2312" max="2312" width="13.25" style="30" customWidth="1"/>
    <col min="2313" max="2314" width="11.75" style="30" customWidth="1"/>
    <col min="2315" max="2316" width="9.375" style="30" customWidth="1"/>
    <col min="2317" max="2320" width="11" style="30" customWidth="1"/>
    <col min="2321" max="2321" width="9.375" style="30" customWidth="1"/>
    <col min="2322" max="2322" width="8" style="30" customWidth="1"/>
    <col min="2323" max="2323" width="9.625" style="30" bestFit="1" customWidth="1"/>
    <col min="2324" max="2560" width="9" style="30"/>
    <col min="2561" max="2561" width="5.875" style="30" customWidth="1"/>
    <col min="2562" max="2562" width="7.875" style="30" customWidth="1"/>
    <col min="2563" max="2563" width="54.375" style="30" customWidth="1"/>
    <col min="2564" max="2564" width="12" style="30" customWidth="1"/>
    <col min="2565" max="2565" width="13.25" style="30" customWidth="1"/>
    <col min="2566" max="2566" width="21.875" style="30" customWidth="1"/>
    <col min="2567" max="2567" width="11.375" style="30" customWidth="1"/>
    <col min="2568" max="2568" width="13.25" style="30" customWidth="1"/>
    <col min="2569" max="2570" width="11.75" style="30" customWidth="1"/>
    <col min="2571" max="2572" width="9.375" style="30" customWidth="1"/>
    <col min="2573" max="2576" width="11" style="30" customWidth="1"/>
    <col min="2577" max="2577" width="9.375" style="30" customWidth="1"/>
    <col min="2578" max="2578" width="8" style="30" customWidth="1"/>
    <col min="2579" max="2579" width="9.625" style="30" bestFit="1" customWidth="1"/>
    <col min="2580" max="2816" width="9" style="30"/>
    <col min="2817" max="2817" width="5.875" style="30" customWidth="1"/>
    <col min="2818" max="2818" width="7.875" style="30" customWidth="1"/>
    <col min="2819" max="2819" width="54.375" style="30" customWidth="1"/>
    <col min="2820" max="2820" width="12" style="30" customWidth="1"/>
    <col min="2821" max="2821" width="13.25" style="30" customWidth="1"/>
    <col min="2822" max="2822" width="21.875" style="30" customWidth="1"/>
    <col min="2823" max="2823" width="11.375" style="30" customWidth="1"/>
    <col min="2824" max="2824" width="13.25" style="30" customWidth="1"/>
    <col min="2825" max="2826" width="11.75" style="30" customWidth="1"/>
    <col min="2827" max="2828" width="9.375" style="30" customWidth="1"/>
    <col min="2829" max="2832" width="11" style="30" customWidth="1"/>
    <col min="2833" max="2833" width="9.375" style="30" customWidth="1"/>
    <col min="2834" max="2834" width="8" style="30" customWidth="1"/>
    <col min="2835" max="2835" width="9.625" style="30" bestFit="1" customWidth="1"/>
    <col min="2836" max="3072" width="9" style="30"/>
    <col min="3073" max="3073" width="5.875" style="30" customWidth="1"/>
    <col min="3074" max="3074" width="7.875" style="30" customWidth="1"/>
    <col min="3075" max="3075" width="54.375" style="30" customWidth="1"/>
    <col min="3076" max="3076" width="12" style="30" customWidth="1"/>
    <col min="3077" max="3077" width="13.25" style="30" customWidth="1"/>
    <col min="3078" max="3078" width="21.875" style="30" customWidth="1"/>
    <col min="3079" max="3079" width="11.375" style="30" customWidth="1"/>
    <col min="3080" max="3080" width="13.25" style="30" customWidth="1"/>
    <col min="3081" max="3082" width="11.75" style="30" customWidth="1"/>
    <col min="3083" max="3084" width="9.375" style="30" customWidth="1"/>
    <col min="3085" max="3088" width="11" style="30" customWidth="1"/>
    <col min="3089" max="3089" width="9.375" style="30" customWidth="1"/>
    <col min="3090" max="3090" width="8" style="30" customWidth="1"/>
    <col min="3091" max="3091" width="9.625" style="30" bestFit="1" customWidth="1"/>
    <col min="3092" max="3328" width="9" style="30"/>
    <col min="3329" max="3329" width="5.875" style="30" customWidth="1"/>
    <col min="3330" max="3330" width="7.875" style="30" customWidth="1"/>
    <col min="3331" max="3331" width="54.375" style="30" customWidth="1"/>
    <col min="3332" max="3332" width="12" style="30" customWidth="1"/>
    <col min="3333" max="3333" width="13.25" style="30" customWidth="1"/>
    <col min="3334" max="3334" width="21.875" style="30" customWidth="1"/>
    <col min="3335" max="3335" width="11.375" style="30" customWidth="1"/>
    <col min="3336" max="3336" width="13.25" style="30" customWidth="1"/>
    <col min="3337" max="3338" width="11.75" style="30" customWidth="1"/>
    <col min="3339" max="3340" width="9.375" style="30" customWidth="1"/>
    <col min="3341" max="3344" width="11" style="30" customWidth="1"/>
    <col min="3345" max="3345" width="9.375" style="30" customWidth="1"/>
    <col min="3346" max="3346" width="8" style="30" customWidth="1"/>
    <col min="3347" max="3347" width="9.625" style="30" bestFit="1" customWidth="1"/>
    <col min="3348" max="3584" width="9" style="30"/>
    <col min="3585" max="3585" width="5.875" style="30" customWidth="1"/>
    <col min="3586" max="3586" width="7.875" style="30" customWidth="1"/>
    <col min="3587" max="3587" width="54.375" style="30" customWidth="1"/>
    <col min="3588" max="3588" width="12" style="30" customWidth="1"/>
    <col min="3589" max="3589" width="13.25" style="30" customWidth="1"/>
    <col min="3590" max="3590" width="21.875" style="30" customWidth="1"/>
    <col min="3591" max="3591" width="11.375" style="30" customWidth="1"/>
    <col min="3592" max="3592" width="13.25" style="30" customWidth="1"/>
    <col min="3593" max="3594" width="11.75" style="30" customWidth="1"/>
    <col min="3595" max="3596" width="9.375" style="30" customWidth="1"/>
    <col min="3597" max="3600" width="11" style="30" customWidth="1"/>
    <col min="3601" max="3601" width="9.375" style="30" customWidth="1"/>
    <col min="3602" max="3602" width="8" style="30" customWidth="1"/>
    <col min="3603" max="3603" width="9.625" style="30" bestFit="1" customWidth="1"/>
    <col min="3604" max="3840" width="9" style="30"/>
    <col min="3841" max="3841" width="5.875" style="30" customWidth="1"/>
    <col min="3842" max="3842" width="7.875" style="30" customWidth="1"/>
    <col min="3843" max="3843" width="54.375" style="30" customWidth="1"/>
    <col min="3844" max="3844" width="12" style="30" customWidth="1"/>
    <col min="3845" max="3845" width="13.25" style="30" customWidth="1"/>
    <col min="3846" max="3846" width="21.875" style="30" customWidth="1"/>
    <col min="3847" max="3847" width="11.375" style="30" customWidth="1"/>
    <col min="3848" max="3848" width="13.25" style="30" customWidth="1"/>
    <col min="3849" max="3850" width="11.75" style="30" customWidth="1"/>
    <col min="3851" max="3852" width="9.375" style="30" customWidth="1"/>
    <col min="3853" max="3856" width="11" style="30" customWidth="1"/>
    <col min="3857" max="3857" width="9.375" style="30" customWidth="1"/>
    <col min="3858" max="3858" width="8" style="30" customWidth="1"/>
    <col min="3859" max="3859" width="9.625" style="30" bestFit="1" customWidth="1"/>
    <col min="3860" max="4096" width="9" style="30"/>
    <col min="4097" max="4097" width="5.875" style="30" customWidth="1"/>
    <col min="4098" max="4098" width="7.875" style="30" customWidth="1"/>
    <col min="4099" max="4099" width="54.375" style="30" customWidth="1"/>
    <col min="4100" max="4100" width="12" style="30" customWidth="1"/>
    <col min="4101" max="4101" width="13.25" style="30" customWidth="1"/>
    <col min="4102" max="4102" width="21.875" style="30" customWidth="1"/>
    <col min="4103" max="4103" width="11.375" style="30" customWidth="1"/>
    <col min="4104" max="4104" width="13.25" style="30" customWidth="1"/>
    <col min="4105" max="4106" width="11.75" style="30" customWidth="1"/>
    <col min="4107" max="4108" width="9.375" style="30" customWidth="1"/>
    <col min="4109" max="4112" width="11" style="30" customWidth="1"/>
    <col min="4113" max="4113" width="9.375" style="30" customWidth="1"/>
    <col min="4114" max="4114" width="8" style="30" customWidth="1"/>
    <col min="4115" max="4115" width="9.625" style="30" bestFit="1" customWidth="1"/>
    <col min="4116" max="4352" width="9" style="30"/>
    <col min="4353" max="4353" width="5.875" style="30" customWidth="1"/>
    <col min="4354" max="4354" width="7.875" style="30" customWidth="1"/>
    <col min="4355" max="4355" width="54.375" style="30" customWidth="1"/>
    <col min="4356" max="4356" width="12" style="30" customWidth="1"/>
    <col min="4357" max="4357" width="13.25" style="30" customWidth="1"/>
    <col min="4358" max="4358" width="21.875" style="30" customWidth="1"/>
    <col min="4359" max="4359" width="11.375" style="30" customWidth="1"/>
    <col min="4360" max="4360" width="13.25" style="30" customWidth="1"/>
    <col min="4361" max="4362" width="11.75" style="30" customWidth="1"/>
    <col min="4363" max="4364" width="9.375" style="30" customWidth="1"/>
    <col min="4365" max="4368" width="11" style="30" customWidth="1"/>
    <col min="4369" max="4369" width="9.375" style="30" customWidth="1"/>
    <col min="4370" max="4370" width="8" style="30" customWidth="1"/>
    <col min="4371" max="4371" width="9.625" style="30" bestFit="1" customWidth="1"/>
    <col min="4372" max="4608" width="9" style="30"/>
    <col min="4609" max="4609" width="5.875" style="30" customWidth="1"/>
    <col min="4610" max="4610" width="7.875" style="30" customWidth="1"/>
    <col min="4611" max="4611" width="54.375" style="30" customWidth="1"/>
    <col min="4612" max="4612" width="12" style="30" customWidth="1"/>
    <col min="4613" max="4613" width="13.25" style="30" customWidth="1"/>
    <col min="4614" max="4614" width="21.875" style="30" customWidth="1"/>
    <col min="4615" max="4615" width="11.375" style="30" customWidth="1"/>
    <col min="4616" max="4616" width="13.25" style="30" customWidth="1"/>
    <col min="4617" max="4618" width="11.75" style="30" customWidth="1"/>
    <col min="4619" max="4620" width="9.375" style="30" customWidth="1"/>
    <col min="4621" max="4624" width="11" style="30" customWidth="1"/>
    <col min="4625" max="4625" width="9.375" style="30" customWidth="1"/>
    <col min="4626" max="4626" width="8" style="30" customWidth="1"/>
    <col min="4627" max="4627" width="9.625" style="30" bestFit="1" customWidth="1"/>
    <col min="4628" max="4864" width="9" style="30"/>
    <col min="4865" max="4865" width="5.875" style="30" customWidth="1"/>
    <col min="4866" max="4866" width="7.875" style="30" customWidth="1"/>
    <col min="4867" max="4867" width="54.375" style="30" customWidth="1"/>
    <col min="4868" max="4868" width="12" style="30" customWidth="1"/>
    <col min="4869" max="4869" width="13.25" style="30" customWidth="1"/>
    <col min="4870" max="4870" width="21.875" style="30" customWidth="1"/>
    <col min="4871" max="4871" width="11.375" style="30" customWidth="1"/>
    <col min="4872" max="4872" width="13.25" style="30" customWidth="1"/>
    <col min="4873" max="4874" width="11.75" style="30" customWidth="1"/>
    <col min="4875" max="4876" width="9.375" style="30" customWidth="1"/>
    <col min="4877" max="4880" width="11" style="30" customWidth="1"/>
    <col min="4881" max="4881" width="9.375" style="30" customWidth="1"/>
    <col min="4882" max="4882" width="8" style="30" customWidth="1"/>
    <col min="4883" max="4883" width="9.625" style="30" bestFit="1" customWidth="1"/>
    <col min="4884" max="5120" width="9" style="30"/>
    <col min="5121" max="5121" width="5.875" style="30" customWidth="1"/>
    <col min="5122" max="5122" width="7.875" style="30" customWidth="1"/>
    <col min="5123" max="5123" width="54.375" style="30" customWidth="1"/>
    <col min="5124" max="5124" width="12" style="30" customWidth="1"/>
    <col min="5125" max="5125" width="13.25" style="30" customWidth="1"/>
    <col min="5126" max="5126" width="21.875" style="30" customWidth="1"/>
    <col min="5127" max="5127" width="11.375" style="30" customWidth="1"/>
    <col min="5128" max="5128" width="13.25" style="30" customWidth="1"/>
    <col min="5129" max="5130" width="11.75" style="30" customWidth="1"/>
    <col min="5131" max="5132" width="9.375" style="30" customWidth="1"/>
    <col min="5133" max="5136" width="11" style="30" customWidth="1"/>
    <col min="5137" max="5137" width="9.375" style="30" customWidth="1"/>
    <col min="5138" max="5138" width="8" style="30" customWidth="1"/>
    <col min="5139" max="5139" width="9.625" style="30" bestFit="1" customWidth="1"/>
    <col min="5140" max="5376" width="9" style="30"/>
    <col min="5377" max="5377" width="5.875" style="30" customWidth="1"/>
    <col min="5378" max="5378" width="7.875" style="30" customWidth="1"/>
    <col min="5379" max="5379" width="54.375" style="30" customWidth="1"/>
    <col min="5380" max="5380" width="12" style="30" customWidth="1"/>
    <col min="5381" max="5381" width="13.25" style="30" customWidth="1"/>
    <col min="5382" max="5382" width="21.875" style="30" customWidth="1"/>
    <col min="5383" max="5383" width="11.375" style="30" customWidth="1"/>
    <col min="5384" max="5384" width="13.25" style="30" customWidth="1"/>
    <col min="5385" max="5386" width="11.75" style="30" customWidth="1"/>
    <col min="5387" max="5388" width="9.375" style="30" customWidth="1"/>
    <col min="5389" max="5392" width="11" style="30" customWidth="1"/>
    <col min="5393" max="5393" width="9.375" style="30" customWidth="1"/>
    <col min="5394" max="5394" width="8" style="30" customWidth="1"/>
    <col min="5395" max="5395" width="9.625" style="30" bestFit="1" customWidth="1"/>
    <col min="5396" max="5632" width="9" style="30"/>
    <col min="5633" max="5633" width="5.875" style="30" customWidth="1"/>
    <col min="5634" max="5634" width="7.875" style="30" customWidth="1"/>
    <col min="5635" max="5635" width="54.375" style="30" customWidth="1"/>
    <col min="5636" max="5636" width="12" style="30" customWidth="1"/>
    <col min="5637" max="5637" width="13.25" style="30" customWidth="1"/>
    <col min="5638" max="5638" width="21.875" style="30" customWidth="1"/>
    <col min="5639" max="5639" width="11.375" style="30" customWidth="1"/>
    <col min="5640" max="5640" width="13.25" style="30" customWidth="1"/>
    <col min="5641" max="5642" width="11.75" style="30" customWidth="1"/>
    <col min="5643" max="5644" width="9.375" style="30" customWidth="1"/>
    <col min="5645" max="5648" width="11" style="30" customWidth="1"/>
    <col min="5649" max="5649" width="9.375" style="30" customWidth="1"/>
    <col min="5650" max="5650" width="8" style="30" customWidth="1"/>
    <col min="5651" max="5651" width="9.625" style="30" bestFit="1" customWidth="1"/>
    <col min="5652" max="5888" width="9" style="30"/>
    <col min="5889" max="5889" width="5.875" style="30" customWidth="1"/>
    <col min="5890" max="5890" width="7.875" style="30" customWidth="1"/>
    <col min="5891" max="5891" width="54.375" style="30" customWidth="1"/>
    <col min="5892" max="5892" width="12" style="30" customWidth="1"/>
    <col min="5893" max="5893" width="13.25" style="30" customWidth="1"/>
    <col min="5894" max="5894" width="21.875" style="30" customWidth="1"/>
    <col min="5895" max="5895" width="11.375" style="30" customWidth="1"/>
    <col min="5896" max="5896" width="13.25" style="30" customWidth="1"/>
    <col min="5897" max="5898" width="11.75" style="30" customWidth="1"/>
    <col min="5899" max="5900" width="9.375" style="30" customWidth="1"/>
    <col min="5901" max="5904" width="11" style="30" customWidth="1"/>
    <col min="5905" max="5905" width="9.375" style="30" customWidth="1"/>
    <col min="5906" max="5906" width="8" style="30" customWidth="1"/>
    <col min="5907" max="5907" width="9.625" style="30" bestFit="1" customWidth="1"/>
    <col min="5908" max="6144" width="9" style="30"/>
    <col min="6145" max="6145" width="5.875" style="30" customWidth="1"/>
    <col min="6146" max="6146" width="7.875" style="30" customWidth="1"/>
    <col min="6147" max="6147" width="54.375" style="30" customWidth="1"/>
    <col min="6148" max="6148" width="12" style="30" customWidth="1"/>
    <col min="6149" max="6149" width="13.25" style="30" customWidth="1"/>
    <col min="6150" max="6150" width="21.875" style="30" customWidth="1"/>
    <col min="6151" max="6151" width="11.375" style="30" customWidth="1"/>
    <col min="6152" max="6152" width="13.25" style="30" customWidth="1"/>
    <col min="6153" max="6154" width="11.75" style="30" customWidth="1"/>
    <col min="6155" max="6156" width="9.375" style="30" customWidth="1"/>
    <col min="6157" max="6160" width="11" style="30" customWidth="1"/>
    <col min="6161" max="6161" width="9.375" style="30" customWidth="1"/>
    <col min="6162" max="6162" width="8" style="30" customWidth="1"/>
    <col min="6163" max="6163" width="9.625" style="30" bestFit="1" customWidth="1"/>
    <col min="6164" max="6400" width="9" style="30"/>
    <col min="6401" max="6401" width="5.875" style="30" customWidth="1"/>
    <col min="6402" max="6402" width="7.875" style="30" customWidth="1"/>
    <col min="6403" max="6403" width="54.375" style="30" customWidth="1"/>
    <col min="6404" max="6404" width="12" style="30" customWidth="1"/>
    <col min="6405" max="6405" width="13.25" style="30" customWidth="1"/>
    <col min="6406" max="6406" width="21.875" style="30" customWidth="1"/>
    <col min="6407" max="6407" width="11.375" style="30" customWidth="1"/>
    <col min="6408" max="6408" width="13.25" style="30" customWidth="1"/>
    <col min="6409" max="6410" width="11.75" style="30" customWidth="1"/>
    <col min="6411" max="6412" width="9.375" style="30" customWidth="1"/>
    <col min="6413" max="6416" width="11" style="30" customWidth="1"/>
    <col min="6417" max="6417" width="9.375" style="30" customWidth="1"/>
    <col min="6418" max="6418" width="8" style="30" customWidth="1"/>
    <col min="6419" max="6419" width="9.625" style="30" bestFit="1" customWidth="1"/>
    <col min="6420" max="6656" width="9" style="30"/>
    <col min="6657" max="6657" width="5.875" style="30" customWidth="1"/>
    <col min="6658" max="6658" width="7.875" style="30" customWidth="1"/>
    <col min="6659" max="6659" width="54.375" style="30" customWidth="1"/>
    <col min="6660" max="6660" width="12" style="30" customWidth="1"/>
    <col min="6661" max="6661" width="13.25" style="30" customWidth="1"/>
    <col min="6662" max="6662" width="21.875" style="30" customWidth="1"/>
    <col min="6663" max="6663" width="11.375" style="30" customWidth="1"/>
    <col min="6664" max="6664" width="13.25" style="30" customWidth="1"/>
    <col min="6665" max="6666" width="11.75" style="30" customWidth="1"/>
    <col min="6667" max="6668" width="9.375" style="30" customWidth="1"/>
    <col min="6669" max="6672" width="11" style="30" customWidth="1"/>
    <col min="6673" max="6673" width="9.375" style="30" customWidth="1"/>
    <col min="6674" max="6674" width="8" style="30" customWidth="1"/>
    <col min="6675" max="6675" width="9.625" style="30" bestFit="1" customWidth="1"/>
    <col min="6676" max="6912" width="9" style="30"/>
    <col min="6913" max="6913" width="5.875" style="30" customWidth="1"/>
    <col min="6914" max="6914" width="7.875" style="30" customWidth="1"/>
    <col min="6915" max="6915" width="54.375" style="30" customWidth="1"/>
    <col min="6916" max="6916" width="12" style="30" customWidth="1"/>
    <col min="6917" max="6917" width="13.25" style="30" customWidth="1"/>
    <col min="6918" max="6918" width="21.875" style="30" customWidth="1"/>
    <col min="6919" max="6919" width="11.375" style="30" customWidth="1"/>
    <col min="6920" max="6920" width="13.25" style="30" customWidth="1"/>
    <col min="6921" max="6922" width="11.75" style="30" customWidth="1"/>
    <col min="6923" max="6924" width="9.375" style="30" customWidth="1"/>
    <col min="6925" max="6928" width="11" style="30" customWidth="1"/>
    <col min="6929" max="6929" width="9.375" style="30" customWidth="1"/>
    <col min="6930" max="6930" width="8" style="30" customWidth="1"/>
    <col min="6931" max="6931" width="9.625" style="30" bestFit="1" customWidth="1"/>
    <col min="6932" max="7168" width="9" style="30"/>
    <col min="7169" max="7169" width="5.875" style="30" customWidth="1"/>
    <col min="7170" max="7170" width="7.875" style="30" customWidth="1"/>
    <col min="7171" max="7171" width="54.375" style="30" customWidth="1"/>
    <col min="7172" max="7172" width="12" style="30" customWidth="1"/>
    <col min="7173" max="7173" width="13.25" style="30" customWidth="1"/>
    <col min="7174" max="7174" width="21.875" style="30" customWidth="1"/>
    <col min="7175" max="7175" width="11.375" style="30" customWidth="1"/>
    <col min="7176" max="7176" width="13.25" style="30" customWidth="1"/>
    <col min="7177" max="7178" width="11.75" style="30" customWidth="1"/>
    <col min="7179" max="7180" width="9.375" style="30" customWidth="1"/>
    <col min="7181" max="7184" width="11" style="30" customWidth="1"/>
    <col min="7185" max="7185" width="9.375" style="30" customWidth="1"/>
    <col min="7186" max="7186" width="8" style="30" customWidth="1"/>
    <col min="7187" max="7187" width="9.625" style="30" bestFit="1" customWidth="1"/>
    <col min="7188" max="7424" width="9" style="30"/>
    <col min="7425" max="7425" width="5.875" style="30" customWidth="1"/>
    <col min="7426" max="7426" width="7.875" style="30" customWidth="1"/>
    <col min="7427" max="7427" width="54.375" style="30" customWidth="1"/>
    <col min="7428" max="7428" width="12" style="30" customWidth="1"/>
    <col min="7429" max="7429" width="13.25" style="30" customWidth="1"/>
    <col min="7430" max="7430" width="21.875" style="30" customWidth="1"/>
    <col min="7431" max="7431" width="11.375" style="30" customWidth="1"/>
    <col min="7432" max="7432" width="13.25" style="30" customWidth="1"/>
    <col min="7433" max="7434" width="11.75" style="30" customWidth="1"/>
    <col min="7435" max="7436" width="9.375" style="30" customWidth="1"/>
    <col min="7437" max="7440" width="11" style="30" customWidth="1"/>
    <col min="7441" max="7441" width="9.375" style="30" customWidth="1"/>
    <col min="7442" max="7442" width="8" style="30" customWidth="1"/>
    <col min="7443" max="7443" width="9.625" style="30" bestFit="1" customWidth="1"/>
    <col min="7444" max="7680" width="9" style="30"/>
    <col min="7681" max="7681" width="5.875" style="30" customWidth="1"/>
    <col min="7682" max="7682" width="7.875" style="30" customWidth="1"/>
    <col min="7683" max="7683" width="54.375" style="30" customWidth="1"/>
    <col min="7684" max="7684" width="12" style="30" customWidth="1"/>
    <col min="7685" max="7685" width="13.25" style="30" customWidth="1"/>
    <col min="7686" max="7686" width="21.875" style="30" customWidth="1"/>
    <col min="7687" max="7687" width="11.375" style="30" customWidth="1"/>
    <col min="7688" max="7688" width="13.25" style="30" customWidth="1"/>
    <col min="7689" max="7690" width="11.75" style="30" customWidth="1"/>
    <col min="7691" max="7692" width="9.375" style="30" customWidth="1"/>
    <col min="7693" max="7696" width="11" style="30" customWidth="1"/>
    <col min="7697" max="7697" width="9.375" style="30" customWidth="1"/>
    <col min="7698" max="7698" width="8" style="30" customWidth="1"/>
    <col min="7699" max="7699" width="9.625" style="30" bestFit="1" customWidth="1"/>
    <col min="7700" max="7936" width="9" style="30"/>
    <col min="7937" max="7937" width="5.875" style="30" customWidth="1"/>
    <col min="7938" max="7938" width="7.875" style="30" customWidth="1"/>
    <col min="7939" max="7939" width="54.375" style="30" customWidth="1"/>
    <col min="7940" max="7940" width="12" style="30" customWidth="1"/>
    <col min="7941" max="7941" width="13.25" style="30" customWidth="1"/>
    <col min="7942" max="7942" width="21.875" style="30" customWidth="1"/>
    <col min="7943" max="7943" width="11.375" style="30" customWidth="1"/>
    <col min="7944" max="7944" width="13.25" style="30" customWidth="1"/>
    <col min="7945" max="7946" width="11.75" style="30" customWidth="1"/>
    <col min="7947" max="7948" width="9.375" style="30" customWidth="1"/>
    <col min="7949" max="7952" width="11" style="30" customWidth="1"/>
    <col min="7953" max="7953" width="9.375" style="30" customWidth="1"/>
    <col min="7954" max="7954" width="8" style="30" customWidth="1"/>
    <col min="7955" max="7955" width="9.625" style="30" bestFit="1" customWidth="1"/>
    <col min="7956" max="8192" width="9" style="30"/>
    <col min="8193" max="8193" width="5.875" style="30" customWidth="1"/>
    <col min="8194" max="8194" width="7.875" style="30" customWidth="1"/>
    <col min="8195" max="8195" width="54.375" style="30" customWidth="1"/>
    <col min="8196" max="8196" width="12" style="30" customWidth="1"/>
    <col min="8197" max="8197" width="13.25" style="30" customWidth="1"/>
    <col min="8198" max="8198" width="21.875" style="30" customWidth="1"/>
    <col min="8199" max="8199" width="11.375" style="30" customWidth="1"/>
    <col min="8200" max="8200" width="13.25" style="30" customWidth="1"/>
    <col min="8201" max="8202" width="11.75" style="30" customWidth="1"/>
    <col min="8203" max="8204" width="9.375" style="30" customWidth="1"/>
    <col min="8205" max="8208" width="11" style="30" customWidth="1"/>
    <col min="8209" max="8209" width="9.375" style="30" customWidth="1"/>
    <col min="8210" max="8210" width="8" style="30" customWidth="1"/>
    <col min="8211" max="8211" width="9.625" style="30" bestFit="1" customWidth="1"/>
    <col min="8212" max="8448" width="9" style="30"/>
    <col min="8449" max="8449" width="5.875" style="30" customWidth="1"/>
    <col min="8450" max="8450" width="7.875" style="30" customWidth="1"/>
    <col min="8451" max="8451" width="54.375" style="30" customWidth="1"/>
    <col min="8452" max="8452" width="12" style="30" customWidth="1"/>
    <col min="8453" max="8453" width="13.25" style="30" customWidth="1"/>
    <col min="8454" max="8454" width="21.875" style="30" customWidth="1"/>
    <col min="8455" max="8455" width="11.375" style="30" customWidth="1"/>
    <col min="8456" max="8456" width="13.25" style="30" customWidth="1"/>
    <col min="8457" max="8458" width="11.75" style="30" customWidth="1"/>
    <col min="8459" max="8460" width="9.375" style="30" customWidth="1"/>
    <col min="8461" max="8464" width="11" style="30" customWidth="1"/>
    <col min="8465" max="8465" width="9.375" style="30" customWidth="1"/>
    <col min="8466" max="8466" width="8" style="30" customWidth="1"/>
    <col min="8467" max="8467" width="9.625" style="30" bestFit="1" customWidth="1"/>
    <col min="8468" max="8704" width="9" style="30"/>
    <col min="8705" max="8705" width="5.875" style="30" customWidth="1"/>
    <col min="8706" max="8706" width="7.875" style="30" customWidth="1"/>
    <col min="8707" max="8707" width="54.375" style="30" customWidth="1"/>
    <col min="8708" max="8708" width="12" style="30" customWidth="1"/>
    <col min="8709" max="8709" width="13.25" style="30" customWidth="1"/>
    <col min="8710" max="8710" width="21.875" style="30" customWidth="1"/>
    <col min="8711" max="8711" width="11.375" style="30" customWidth="1"/>
    <col min="8712" max="8712" width="13.25" style="30" customWidth="1"/>
    <col min="8713" max="8714" width="11.75" style="30" customWidth="1"/>
    <col min="8715" max="8716" width="9.375" style="30" customWidth="1"/>
    <col min="8717" max="8720" width="11" style="30" customWidth="1"/>
    <col min="8721" max="8721" width="9.375" style="30" customWidth="1"/>
    <col min="8722" max="8722" width="8" style="30" customWidth="1"/>
    <col min="8723" max="8723" width="9.625" style="30" bestFit="1" customWidth="1"/>
    <col min="8724" max="8960" width="9" style="30"/>
    <col min="8961" max="8961" width="5.875" style="30" customWidth="1"/>
    <col min="8962" max="8962" width="7.875" style="30" customWidth="1"/>
    <col min="8963" max="8963" width="54.375" style="30" customWidth="1"/>
    <col min="8964" max="8964" width="12" style="30" customWidth="1"/>
    <col min="8965" max="8965" width="13.25" style="30" customWidth="1"/>
    <col min="8966" max="8966" width="21.875" style="30" customWidth="1"/>
    <col min="8967" max="8967" width="11.375" style="30" customWidth="1"/>
    <col min="8968" max="8968" width="13.25" style="30" customWidth="1"/>
    <col min="8969" max="8970" width="11.75" style="30" customWidth="1"/>
    <col min="8971" max="8972" width="9.375" style="30" customWidth="1"/>
    <col min="8973" max="8976" width="11" style="30" customWidth="1"/>
    <col min="8977" max="8977" width="9.375" style="30" customWidth="1"/>
    <col min="8978" max="8978" width="8" style="30" customWidth="1"/>
    <col min="8979" max="8979" width="9.625" style="30" bestFit="1" customWidth="1"/>
    <col min="8980" max="9216" width="9" style="30"/>
    <col min="9217" max="9217" width="5.875" style="30" customWidth="1"/>
    <col min="9218" max="9218" width="7.875" style="30" customWidth="1"/>
    <col min="9219" max="9219" width="54.375" style="30" customWidth="1"/>
    <col min="9220" max="9220" width="12" style="30" customWidth="1"/>
    <col min="9221" max="9221" width="13.25" style="30" customWidth="1"/>
    <col min="9222" max="9222" width="21.875" style="30" customWidth="1"/>
    <col min="9223" max="9223" width="11.375" style="30" customWidth="1"/>
    <col min="9224" max="9224" width="13.25" style="30" customWidth="1"/>
    <col min="9225" max="9226" width="11.75" style="30" customWidth="1"/>
    <col min="9227" max="9228" width="9.375" style="30" customWidth="1"/>
    <col min="9229" max="9232" width="11" style="30" customWidth="1"/>
    <col min="9233" max="9233" width="9.375" style="30" customWidth="1"/>
    <col min="9234" max="9234" width="8" style="30" customWidth="1"/>
    <col min="9235" max="9235" width="9.625" style="30" bestFit="1" customWidth="1"/>
    <col min="9236" max="9472" width="9" style="30"/>
    <col min="9473" max="9473" width="5.875" style="30" customWidth="1"/>
    <col min="9474" max="9474" width="7.875" style="30" customWidth="1"/>
    <col min="9475" max="9475" width="54.375" style="30" customWidth="1"/>
    <col min="9476" max="9476" width="12" style="30" customWidth="1"/>
    <col min="9477" max="9477" width="13.25" style="30" customWidth="1"/>
    <col min="9478" max="9478" width="21.875" style="30" customWidth="1"/>
    <col min="9479" max="9479" width="11.375" style="30" customWidth="1"/>
    <col min="9480" max="9480" width="13.25" style="30" customWidth="1"/>
    <col min="9481" max="9482" width="11.75" style="30" customWidth="1"/>
    <col min="9483" max="9484" width="9.375" style="30" customWidth="1"/>
    <col min="9485" max="9488" width="11" style="30" customWidth="1"/>
    <col min="9489" max="9489" width="9.375" style="30" customWidth="1"/>
    <col min="9490" max="9490" width="8" style="30" customWidth="1"/>
    <col min="9491" max="9491" width="9.625" style="30" bestFit="1" customWidth="1"/>
    <col min="9492" max="9728" width="9" style="30"/>
    <col min="9729" max="9729" width="5.875" style="30" customWidth="1"/>
    <col min="9730" max="9730" width="7.875" style="30" customWidth="1"/>
    <col min="9731" max="9731" width="54.375" style="30" customWidth="1"/>
    <col min="9732" max="9732" width="12" style="30" customWidth="1"/>
    <col min="9733" max="9733" width="13.25" style="30" customWidth="1"/>
    <col min="9734" max="9734" width="21.875" style="30" customWidth="1"/>
    <col min="9735" max="9735" width="11.375" style="30" customWidth="1"/>
    <col min="9736" max="9736" width="13.25" style="30" customWidth="1"/>
    <col min="9737" max="9738" width="11.75" style="30" customWidth="1"/>
    <col min="9739" max="9740" width="9.375" style="30" customWidth="1"/>
    <col min="9741" max="9744" width="11" style="30" customWidth="1"/>
    <col min="9745" max="9745" width="9.375" style="30" customWidth="1"/>
    <col min="9746" max="9746" width="8" style="30" customWidth="1"/>
    <col min="9747" max="9747" width="9.625" style="30" bestFit="1" customWidth="1"/>
    <col min="9748" max="9984" width="9" style="30"/>
    <col min="9985" max="9985" width="5.875" style="30" customWidth="1"/>
    <col min="9986" max="9986" width="7.875" style="30" customWidth="1"/>
    <col min="9987" max="9987" width="54.375" style="30" customWidth="1"/>
    <col min="9988" max="9988" width="12" style="30" customWidth="1"/>
    <col min="9989" max="9989" width="13.25" style="30" customWidth="1"/>
    <col min="9990" max="9990" width="21.875" style="30" customWidth="1"/>
    <col min="9991" max="9991" width="11.375" style="30" customWidth="1"/>
    <col min="9992" max="9992" width="13.25" style="30" customWidth="1"/>
    <col min="9993" max="9994" width="11.75" style="30" customWidth="1"/>
    <col min="9995" max="9996" width="9.375" style="30" customWidth="1"/>
    <col min="9997" max="10000" width="11" style="30" customWidth="1"/>
    <col min="10001" max="10001" width="9.375" style="30" customWidth="1"/>
    <col min="10002" max="10002" width="8" style="30" customWidth="1"/>
    <col min="10003" max="10003" width="9.625" style="30" bestFit="1" customWidth="1"/>
    <col min="10004" max="10240" width="9" style="30"/>
    <col min="10241" max="10241" width="5.875" style="30" customWidth="1"/>
    <col min="10242" max="10242" width="7.875" style="30" customWidth="1"/>
    <col min="10243" max="10243" width="54.375" style="30" customWidth="1"/>
    <col min="10244" max="10244" width="12" style="30" customWidth="1"/>
    <col min="10245" max="10245" width="13.25" style="30" customWidth="1"/>
    <col min="10246" max="10246" width="21.875" style="30" customWidth="1"/>
    <col min="10247" max="10247" width="11.375" style="30" customWidth="1"/>
    <col min="10248" max="10248" width="13.25" style="30" customWidth="1"/>
    <col min="10249" max="10250" width="11.75" style="30" customWidth="1"/>
    <col min="10251" max="10252" width="9.375" style="30" customWidth="1"/>
    <col min="10253" max="10256" width="11" style="30" customWidth="1"/>
    <col min="10257" max="10257" width="9.375" style="30" customWidth="1"/>
    <col min="10258" max="10258" width="8" style="30" customWidth="1"/>
    <col min="10259" max="10259" width="9.625" style="30" bestFit="1" customWidth="1"/>
    <col min="10260" max="10496" width="9" style="30"/>
    <col min="10497" max="10497" width="5.875" style="30" customWidth="1"/>
    <col min="10498" max="10498" width="7.875" style="30" customWidth="1"/>
    <col min="10499" max="10499" width="54.375" style="30" customWidth="1"/>
    <col min="10500" max="10500" width="12" style="30" customWidth="1"/>
    <col min="10501" max="10501" width="13.25" style="30" customWidth="1"/>
    <col min="10502" max="10502" width="21.875" style="30" customWidth="1"/>
    <col min="10503" max="10503" width="11.375" style="30" customWidth="1"/>
    <col min="10504" max="10504" width="13.25" style="30" customWidth="1"/>
    <col min="10505" max="10506" width="11.75" style="30" customWidth="1"/>
    <col min="10507" max="10508" width="9.375" style="30" customWidth="1"/>
    <col min="10509" max="10512" width="11" style="30" customWidth="1"/>
    <col min="10513" max="10513" width="9.375" style="30" customWidth="1"/>
    <col min="10514" max="10514" width="8" style="30" customWidth="1"/>
    <col min="10515" max="10515" width="9.625" style="30" bestFit="1" customWidth="1"/>
    <col min="10516" max="10752" width="9" style="30"/>
    <col min="10753" max="10753" width="5.875" style="30" customWidth="1"/>
    <col min="10754" max="10754" width="7.875" style="30" customWidth="1"/>
    <col min="10755" max="10755" width="54.375" style="30" customWidth="1"/>
    <col min="10756" max="10756" width="12" style="30" customWidth="1"/>
    <col min="10757" max="10757" width="13.25" style="30" customWidth="1"/>
    <col min="10758" max="10758" width="21.875" style="30" customWidth="1"/>
    <col min="10759" max="10759" width="11.375" style="30" customWidth="1"/>
    <col min="10760" max="10760" width="13.25" style="30" customWidth="1"/>
    <col min="10761" max="10762" width="11.75" style="30" customWidth="1"/>
    <col min="10763" max="10764" width="9.375" style="30" customWidth="1"/>
    <col min="10765" max="10768" width="11" style="30" customWidth="1"/>
    <col min="10769" max="10769" width="9.375" style="30" customWidth="1"/>
    <col min="10770" max="10770" width="8" style="30" customWidth="1"/>
    <col min="10771" max="10771" width="9.625" style="30" bestFit="1" customWidth="1"/>
    <col min="10772" max="11008" width="9" style="30"/>
    <col min="11009" max="11009" width="5.875" style="30" customWidth="1"/>
    <col min="11010" max="11010" width="7.875" style="30" customWidth="1"/>
    <col min="11011" max="11011" width="54.375" style="30" customWidth="1"/>
    <col min="11012" max="11012" width="12" style="30" customWidth="1"/>
    <col min="11013" max="11013" width="13.25" style="30" customWidth="1"/>
    <col min="11014" max="11014" width="21.875" style="30" customWidth="1"/>
    <col min="11015" max="11015" width="11.375" style="30" customWidth="1"/>
    <col min="11016" max="11016" width="13.25" style="30" customWidth="1"/>
    <col min="11017" max="11018" width="11.75" style="30" customWidth="1"/>
    <col min="11019" max="11020" width="9.375" style="30" customWidth="1"/>
    <col min="11021" max="11024" width="11" style="30" customWidth="1"/>
    <col min="11025" max="11025" width="9.375" style="30" customWidth="1"/>
    <col min="11026" max="11026" width="8" style="30" customWidth="1"/>
    <col min="11027" max="11027" width="9.625" style="30" bestFit="1" customWidth="1"/>
    <col min="11028" max="11264" width="9" style="30"/>
    <col min="11265" max="11265" width="5.875" style="30" customWidth="1"/>
    <col min="11266" max="11266" width="7.875" style="30" customWidth="1"/>
    <col min="11267" max="11267" width="54.375" style="30" customWidth="1"/>
    <col min="11268" max="11268" width="12" style="30" customWidth="1"/>
    <col min="11269" max="11269" width="13.25" style="30" customWidth="1"/>
    <col min="11270" max="11270" width="21.875" style="30" customWidth="1"/>
    <col min="11271" max="11271" width="11.375" style="30" customWidth="1"/>
    <col min="11272" max="11272" width="13.25" style="30" customWidth="1"/>
    <col min="11273" max="11274" width="11.75" style="30" customWidth="1"/>
    <col min="11275" max="11276" width="9.375" style="30" customWidth="1"/>
    <col min="11277" max="11280" width="11" style="30" customWidth="1"/>
    <col min="11281" max="11281" width="9.375" style="30" customWidth="1"/>
    <col min="11282" max="11282" width="8" style="30" customWidth="1"/>
    <col min="11283" max="11283" width="9.625" style="30" bestFit="1" customWidth="1"/>
    <col min="11284" max="11520" width="9" style="30"/>
    <col min="11521" max="11521" width="5.875" style="30" customWidth="1"/>
    <col min="11522" max="11522" width="7.875" style="30" customWidth="1"/>
    <col min="11523" max="11523" width="54.375" style="30" customWidth="1"/>
    <col min="11524" max="11524" width="12" style="30" customWidth="1"/>
    <col min="11525" max="11525" width="13.25" style="30" customWidth="1"/>
    <col min="11526" max="11526" width="21.875" style="30" customWidth="1"/>
    <col min="11527" max="11527" width="11.375" style="30" customWidth="1"/>
    <col min="11528" max="11528" width="13.25" style="30" customWidth="1"/>
    <col min="11529" max="11530" width="11.75" style="30" customWidth="1"/>
    <col min="11531" max="11532" width="9.375" style="30" customWidth="1"/>
    <col min="11533" max="11536" width="11" style="30" customWidth="1"/>
    <col min="11537" max="11537" width="9.375" style="30" customWidth="1"/>
    <col min="11538" max="11538" width="8" style="30" customWidth="1"/>
    <col min="11539" max="11539" width="9.625" style="30" bestFit="1" customWidth="1"/>
    <col min="11540" max="11776" width="9" style="30"/>
    <col min="11777" max="11777" width="5.875" style="30" customWidth="1"/>
    <col min="11778" max="11778" width="7.875" style="30" customWidth="1"/>
    <col min="11779" max="11779" width="54.375" style="30" customWidth="1"/>
    <col min="11780" max="11780" width="12" style="30" customWidth="1"/>
    <col min="11781" max="11781" width="13.25" style="30" customWidth="1"/>
    <col min="11782" max="11782" width="21.875" style="30" customWidth="1"/>
    <col min="11783" max="11783" width="11.375" style="30" customWidth="1"/>
    <col min="11784" max="11784" width="13.25" style="30" customWidth="1"/>
    <col min="11785" max="11786" width="11.75" style="30" customWidth="1"/>
    <col min="11787" max="11788" width="9.375" style="30" customWidth="1"/>
    <col min="11789" max="11792" width="11" style="30" customWidth="1"/>
    <col min="11793" max="11793" width="9.375" style="30" customWidth="1"/>
    <col min="11794" max="11794" width="8" style="30" customWidth="1"/>
    <col min="11795" max="11795" width="9.625" style="30" bestFit="1" customWidth="1"/>
    <col min="11796" max="12032" width="9" style="30"/>
    <col min="12033" max="12033" width="5.875" style="30" customWidth="1"/>
    <col min="12034" max="12034" width="7.875" style="30" customWidth="1"/>
    <col min="12035" max="12035" width="54.375" style="30" customWidth="1"/>
    <col min="12036" max="12036" width="12" style="30" customWidth="1"/>
    <col min="12037" max="12037" width="13.25" style="30" customWidth="1"/>
    <col min="12038" max="12038" width="21.875" style="30" customWidth="1"/>
    <col min="12039" max="12039" width="11.375" style="30" customWidth="1"/>
    <col min="12040" max="12040" width="13.25" style="30" customWidth="1"/>
    <col min="12041" max="12042" width="11.75" style="30" customWidth="1"/>
    <col min="12043" max="12044" width="9.375" style="30" customWidth="1"/>
    <col min="12045" max="12048" width="11" style="30" customWidth="1"/>
    <col min="12049" max="12049" width="9.375" style="30" customWidth="1"/>
    <col min="12050" max="12050" width="8" style="30" customWidth="1"/>
    <col min="12051" max="12051" width="9.625" style="30" bestFit="1" customWidth="1"/>
    <col min="12052" max="12288" width="9" style="30"/>
    <col min="12289" max="12289" width="5.875" style="30" customWidth="1"/>
    <col min="12290" max="12290" width="7.875" style="30" customWidth="1"/>
    <col min="12291" max="12291" width="54.375" style="30" customWidth="1"/>
    <col min="12292" max="12292" width="12" style="30" customWidth="1"/>
    <col min="12293" max="12293" width="13.25" style="30" customWidth="1"/>
    <col min="12294" max="12294" width="21.875" style="30" customWidth="1"/>
    <col min="12295" max="12295" width="11.375" style="30" customWidth="1"/>
    <col min="12296" max="12296" width="13.25" style="30" customWidth="1"/>
    <col min="12297" max="12298" width="11.75" style="30" customWidth="1"/>
    <col min="12299" max="12300" width="9.375" style="30" customWidth="1"/>
    <col min="12301" max="12304" width="11" style="30" customWidth="1"/>
    <col min="12305" max="12305" width="9.375" style="30" customWidth="1"/>
    <col min="12306" max="12306" width="8" style="30" customWidth="1"/>
    <col min="12307" max="12307" width="9.625" style="30" bestFit="1" customWidth="1"/>
    <col min="12308" max="12544" width="9" style="30"/>
    <col min="12545" max="12545" width="5.875" style="30" customWidth="1"/>
    <col min="12546" max="12546" width="7.875" style="30" customWidth="1"/>
    <col min="12547" max="12547" width="54.375" style="30" customWidth="1"/>
    <col min="12548" max="12548" width="12" style="30" customWidth="1"/>
    <col min="12549" max="12549" width="13.25" style="30" customWidth="1"/>
    <col min="12550" max="12550" width="21.875" style="30" customWidth="1"/>
    <col min="12551" max="12551" width="11.375" style="30" customWidth="1"/>
    <col min="12552" max="12552" width="13.25" style="30" customWidth="1"/>
    <col min="12553" max="12554" width="11.75" style="30" customWidth="1"/>
    <col min="12555" max="12556" width="9.375" style="30" customWidth="1"/>
    <col min="12557" max="12560" width="11" style="30" customWidth="1"/>
    <col min="12561" max="12561" width="9.375" style="30" customWidth="1"/>
    <col min="12562" max="12562" width="8" style="30" customWidth="1"/>
    <col min="12563" max="12563" width="9.625" style="30" bestFit="1" customWidth="1"/>
    <col min="12564" max="12800" width="9" style="30"/>
    <col min="12801" max="12801" width="5.875" style="30" customWidth="1"/>
    <col min="12802" max="12802" width="7.875" style="30" customWidth="1"/>
    <col min="12803" max="12803" width="54.375" style="30" customWidth="1"/>
    <col min="12804" max="12804" width="12" style="30" customWidth="1"/>
    <col min="12805" max="12805" width="13.25" style="30" customWidth="1"/>
    <col min="12806" max="12806" width="21.875" style="30" customWidth="1"/>
    <col min="12807" max="12807" width="11.375" style="30" customWidth="1"/>
    <col min="12808" max="12808" width="13.25" style="30" customWidth="1"/>
    <col min="12809" max="12810" width="11.75" style="30" customWidth="1"/>
    <col min="12811" max="12812" width="9.375" style="30" customWidth="1"/>
    <col min="12813" max="12816" width="11" style="30" customWidth="1"/>
    <col min="12817" max="12817" width="9.375" style="30" customWidth="1"/>
    <col min="12818" max="12818" width="8" style="30" customWidth="1"/>
    <col min="12819" max="12819" width="9.625" style="30" bestFit="1" customWidth="1"/>
    <col min="12820" max="13056" width="9" style="30"/>
    <col min="13057" max="13057" width="5.875" style="30" customWidth="1"/>
    <col min="13058" max="13058" width="7.875" style="30" customWidth="1"/>
    <col min="13059" max="13059" width="54.375" style="30" customWidth="1"/>
    <col min="13060" max="13060" width="12" style="30" customWidth="1"/>
    <col min="13061" max="13061" width="13.25" style="30" customWidth="1"/>
    <col min="13062" max="13062" width="21.875" style="30" customWidth="1"/>
    <col min="13063" max="13063" width="11.375" style="30" customWidth="1"/>
    <col min="13064" max="13064" width="13.25" style="30" customWidth="1"/>
    <col min="13065" max="13066" width="11.75" style="30" customWidth="1"/>
    <col min="13067" max="13068" width="9.375" style="30" customWidth="1"/>
    <col min="13069" max="13072" width="11" style="30" customWidth="1"/>
    <col min="13073" max="13073" width="9.375" style="30" customWidth="1"/>
    <col min="13074" max="13074" width="8" style="30" customWidth="1"/>
    <col min="13075" max="13075" width="9.625" style="30" bestFit="1" customWidth="1"/>
    <col min="13076" max="13312" width="9" style="30"/>
    <col min="13313" max="13313" width="5.875" style="30" customWidth="1"/>
    <col min="13314" max="13314" width="7.875" style="30" customWidth="1"/>
    <col min="13315" max="13315" width="54.375" style="30" customWidth="1"/>
    <col min="13316" max="13316" width="12" style="30" customWidth="1"/>
    <col min="13317" max="13317" width="13.25" style="30" customWidth="1"/>
    <col min="13318" max="13318" width="21.875" style="30" customWidth="1"/>
    <col min="13319" max="13319" width="11.375" style="30" customWidth="1"/>
    <col min="13320" max="13320" width="13.25" style="30" customWidth="1"/>
    <col min="13321" max="13322" width="11.75" style="30" customWidth="1"/>
    <col min="13323" max="13324" width="9.375" style="30" customWidth="1"/>
    <col min="13325" max="13328" width="11" style="30" customWidth="1"/>
    <col min="13329" max="13329" width="9.375" style="30" customWidth="1"/>
    <col min="13330" max="13330" width="8" style="30" customWidth="1"/>
    <col min="13331" max="13331" width="9.625" style="30" bestFit="1" customWidth="1"/>
    <col min="13332" max="13568" width="9" style="30"/>
    <col min="13569" max="13569" width="5.875" style="30" customWidth="1"/>
    <col min="13570" max="13570" width="7.875" style="30" customWidth="1"/>
    <col min="13571" max="13571" width="54.375" style="30" customWidth="1"/>
    <col min="13572" max="13572" width="12" style="30" customWidth="1"/>
    <col min="13573" max="13573" width="13.25" style="30" customWidth="1"/>
    <col min="13574" max="13574" width="21.875" style="30" customWidth="1"/>
    <col min="13575" max="13575" width="11.375" style="30" customWidth="1"/>
    <col min="13576" max="13576" width="13.25" style="30" customWidth="1"/>
    <col min="13577" max="13578" width="11.75" style="30" customWidth="1"/>
    <col min="13579" max="13580" width="9.375" style="30" customWidth="1"/>
    <col min="13581" max="13584" width="11" style="30" customWidth="1"/>
    <col min="13585" max="13585" width="9.375" style="30" customWidth="1"/>
    <col min="13586" max="13586" width="8" style="30" customWidth="1"/>
    <col min="13587" max="13587" width="9.625" style="30" bestFit="1" customWidth="1"/>
    <col min="13588" max="13824" width="9" style="30"/>
    <col min="13825" max="13825" width="5.875" style="30" customWidth="1"/>
    <col min="13826" max="13826" width="7.875" style="30" customWidth="1"/>
    <col min="13827" max="13827" width="54.375" style="30" customWidth="1"/>
    <col min="13828" max="13828" width="12" style="30" customWidth="1"/>
    <col min="13829" max="13829" width="13.25" style="30" customWidth="1"/>
    <col min="13830" max="13830" width="21.875" style="30" customWidth="1"/>
    <col min="13831" max="13831" width="11.375" style="30" customWidth="1"/>
    <col min="13832" max="13832" width="13.25" style="30" customWidth="1"/>
    <col min="13833" max="13834" width="11.75" style="30" customWidth="1"/>
    <col min="13835" max="13836" width="9.375" style="30" customWidth="1"/>
    <col min="13837" max="13840" width="11" style="30" customWidth="1"/>
    <col min="13841" max="13841" width="9.375" style="30" customWidth="1"/>
    <col min="13842" max="13842" width="8" style="30" customWidth="1"/>
    <col min="13843" max="13843" width="9.625" style="30" bestFit="1" customWidth="1"/>
    <col min="13844" max="14080" width="9" style="30"/>
    <col min="14081" max="14081" width="5.875" style="30" customWidth="1"/>
    <col min="14082" max="14082" width="7.875" style="30" customWidth="1"/>
    <col min="14083" max="14083" width="54.375" style="30" customWidth="1"/>
    <col min="14084" max="14084" width="12" style="30" customWidth="1"/>
    <col min="14085" max="14085" width="13.25" style="30" customWidth="1"/>
    <col min="14086" max="14086" width="21.875" style="30" customWidth="1"/>
    <col min="14087" max="14087" width="11.375" style="30" customWidth="1"/>
    <col min="14088" max="14088" width="13.25" style="30" customWidth="1"/>
    <col min="14089" max="14090" width="11.75" style="30" customWidth="1"/>
    <col min="14091" max="14092" width="9.375" style="30" customWidth="1"/>
    <col min="14093" max="14096" width="11" style="30" customWidth="1"/>
    <col min="14097" max="14097" width="9.375" style="30" customWidth="1"/>
    <col min="14098" max="14098" width="8" style="30" customWidth="1"/>
    <col min="14099" max="14099" width="9.625" style="30" bestFit="1" customWidth="1"/>
    <col min="14100" max="14336" width="9" style="30"/>
    <col min="14337" max="14337" width="5.875" style="30" customWidth="1"/>
    <col min="14338" max="14338" width="7.875" style="30" customWidth="1"/>
    <col min="14339" max="14339" width="54.375" style="30" customWidth="1"/>
    <col min="14340" max="14340" width="12" style="30" customWidth="1"/>
    <col min="14341" max="14341" width="13.25" style="30" customWidth="1"/>
    <col min="14342" max="14342" width="21.875" style="30" customWidth="1"/>
    <col min="14343" max="14343" width="11.375" style="30" customWidth="1"/>
    <col min="14344" max="14344" width="13.25" style="30" customWidth="1"/>
    <col min="14345" max="14346" width="11.75" style="30" customWidth="1"/>
    <col min="14347" max="14348" width="9.375" style="30" customWidth="1"/>
    <col min="14349" max="14352" width="11" style="30" customWidth="1"/>
    <col min="14353" max="14353" width="9.375" style="30" customWidth="1"/>
    <col min="14354" max="14354" width="8" style="30" customWidth="1"/>
    <col min="14355" max="14355" width="9.625" style="30" bestFit="1" customWidth="1"/>
    <col min="14356" max="14592" width="9" style="30"/>
    <col min="14593" max="14593" width="5.875" style="30" customWidth="1"/>
    <col min="14594" max="14594" width="7.875" style="30" customWidth="1"/>
    <col min="14595" max="14595" width="54.375" style="30" customWidth="1"/>
    <col min="14596" max="14596" width="12" style="30" customWidth="1"/>
    <col min="14597" max="14597" width="13.25" style="30" customWidth="1"/>
    <col min="14598" max="14598" width="21.875" style="30" customWidth="1"/>
    <col min="14599" max="14599" width="11.375" style="30" customWidth="1"/>
    <col min="14600" max="14600" width="13.25" style="30" customWidth="1"/>
    <col min="14601" max="14602" width="11.75" style="30" customWidth="1"/>
    <col min="14603" max="14604" width="9.375" style="30" customWidth="1"/>
    <col min="14605" max="14608" width="11" style="30" customWidth="1"/>
    <col min="14609" max="14609" width="9.375" style="30" customWidth="1"/>
    <col min="14610" max="14610" width="8" style="30" customWidth="1"/>
    <col min="14611" max="14611" width="9.625" style="30" bestFit="1" customWidth="1"/>
    <col min="14612" max="14848" width="9" style="30"/>
    <col min="14849" max="14849" width="5.875" style="30" customWidth="1"/>
    <col min="14850" max="14850" width="7.875" style="30" customWidth="1"/>
    <col min="14851" max="14851" width="54.375" style="30" customWidth="1"/>
    <col min="14852" max="14852" width="12" style="30" customWidth="1"/>
    <col min="14853" max="14853" width="13.25" style="30" customWidth="1"/>
    <col min="14854" max="14854" width="21.875" style="30" customWidth="1"/>
    <col min="14855" max="14855" width="11.375" style="30" customWidth="1"/>
    <col min="14856" max="14856" width="13.25" style="30" customWidth="1"/>
    <col min="14857" max="14858" width="11.75" style="30" customWidth="1"/>
    <col min="14859" max="14860" width="9.375" style="30" customWidth="1"/>
    <col min="14861" max="14864" width="11" style="30" customWidth="1"/>
    <col min="14865" max="14865" width="9.375" style="30" customWidth="1"/>
    <col min="14866" max="14866" width="8" style="30" customWidth="1"/>
    <col min="14867" max="14867" width="9.625" style="30" bestFit="1" customWidth="1"/>
    <col min="14868" max="15104" width="9" style="30"/>
    <col min="15105" max="15105" width="5.875" style="30" customWidth="1"/>
    <col min="15106" max="15106" width="7.875" style="30" customWidth="1"/>
    <col min="15107" max="15107" width="54.375" style="30" customWidth="1"/>
    <col min="15108" max="15108" width="12" style="30" customWidth="1"/>
    <col min="15109" max="15109" width="13.25" style="30" customWidth="1"/>
    <col min="15110" max="15110" width="21.875" style="30" customWidth="1"/>
    <col min="15111" max="15111" width="11.375" style="30" customWidth="1"/>
    <col min="15112" max="15112" width="13.25" style="30" customWidth="1"/>
    <col min="15113" max="15114" width="11.75" style="30" customWidth="1"/>
    <col min="15115" max="15116" width="9.375" style="30" customWidth="1"/>
    <col min="15117" max="15120" width="11" style="30" customWidth="1"/>
    <col min="15121" max="15121" width="9.375" style="30" customWidth="1"/>
    <col min="15122" max="15122" width="8" style="30" customWidth="1"/>
    <col min="15123" max="15123" width="9.625" style="30" bestFit="1" customWidth="1"/>
    <col min="15124" max="15360" width="9" style="30"/>
    <col min="15361" max="15361" width="5.875" style="30" customWidth="1"/>
    <col min="15362" max="15362" width="7.875" style="30" customWidth="1"/>
    <col min="15363" max="15363" width="54.375" style="30" customWidth="1"/>
    <col min="15364" max="15364" width="12" style="30" customWidth="1"/>
    <col min="15365" max="15365" width="13.25" style="30" customWidth="1"/>
    <col min="15366" max="15366" width="21.875" style="30" customWidth="1"/>
    <col min="15367" max="15367" width="11.375" style="30" customWidth="1"/>
    <col min="15368" max="15368" width="13.25" style="30" customWidth="1"/>
    <col min="15369" max="15370" width="11.75" style="30" customWidth="1"/>
    <col min="15371" max="15372" width="9.375" style="30" customWidth="1"/>
    <col min="15373" max="15376" width="11" style="30" customWidth="1"/>
    <col min="15377" max="15377" width="9.375" style="30" customWidth="1"/>
    <col min="15378" max="15378" width="8" style="30" customWidth="1"/>
    <col min="15379" max="15379" width="9.625" style="30" bestFit="1" customWidth="1"/>
    <col min="15380" max="15616" width="9" style="30"/>
    <col min="15617" max="15617" width="5.875" style="30" customWidth="1"/>
    <col min="15618" max="15618" width="7.875" style="30" customWidth="1"/>
    <col min="15619" max="15619" width="54.375" style="30" customWidth="1"/>
    <col min="15620" max="15620" width="12" style="30" customWidth="1"/>
    <col min="15621" max="15621" width="13.25" style="30" customWidth="1"/>
    <col min="15622" max="15622" width="21.875" style="30" customWidth="1"/>
    <col min="15623" max="15623" width="11.375" style="30" customWidth="1"/>
    <col min="15624" max="15624" width="13.25" style="30" customWidth="1"/>
    <col min="15625" max="15626" width="11.75" style="30" customWidth="1"/>
    <col min="15627" max="15628" width="9.375" style="30" customWidth="1"/>
    <col min="15629" max="15632" width="11" style="30" customWidth="1"/>
    <col min="15633" max="15633" width="9.375" style="30" customWidth="1"/>
    <col min="15634" max="15634" width="8" style="30" customWidth="1"/>
    <col min="15635" max="15635" width="9.625" style="30" bestFit="1" customWidth="1"/>
    <col min="15636" max="15872" width="9" style="30"/>
    <col min="15873" max="15873" width="5.875" style="30" customWidth="1"/>
    <col min="15874" max="15874" width="7.875" style="30" customWidth="1"/>
    <col min="15875" max="15875" width="54.375" style="30" customWidth="1"/>
    <col min="15876" max="15876" width="12" style="30" customWidth="1"/>
    <col min="15877" max="15877" width="13.25" style="30" customWidth="1"/>
    <col min="15878" max="15878" width="21.875" style="30" customWidth="1"/>
    <col min="15879" max="15879" width="11.375" style="30" customWidth="1"/>
    <col min="15880" max="15880" width="13.25" style="30" customWidth="1"/>
    <col min="15881" max="15882" width="11.75" style="30" customWidth="1"/>
    <col min="15883" max="15884" width="9.375" style="30" customWidth="1"/>
    <col min="15885" max="15888" width="11" style="30" customWidth="1"/>
    <col min="15889" max="15889" width="9.375" style="30" customWidth="1"/>
    <col min="15890" max="15890" width="8" style="30" customWidth="1"/>
    <col min="15891" max="15891" width="9.625" style="30" bestFit="1" customWidth="1"/>
    <col min="15892" max="16128" width="9" style="30"/>
    <col min="16129" max="16129" width="5.875" style="30" customWidth="1"/>
    <col min="16130" max="16130" width="7.875" style="30" customWidth="1"/>
    <col min="16131" max="16131" width="54.375" style="30" customWidth="1"/>
    <col min="16132" max="16132" width="12" style="30" customWidth="1"/>
    <col min="16133" max="16133" width="13.25" style="30" customWidth="1"/>
    <col min="16134" max="16134" width="21.875" style="30" customWidth="1"/>
    <col min="16135" max="16135" width="11.375" style="30" customWidth="1"/>
    <col min="16136" max="16136" width="13.25" style="30" customWidth="1"/>
    <col min="16137" max="16138" width="11.75" style="30" customWidth="1"/>
    <col min="16139" max="16140" width="9.375" style="30" customWidth="1"/>
    <col min="16141" max="16144" width="11" style="30" customWidth="1"/>
    <col min="16145" max="16145" width="9.375" style="30" customWidth="1"/>
    <col min="16146" max="16146" width="8" style="30" customWidth="1"/>
    <col min="16147" max="16147" width="9.625" style="30" bestFit="1" customWidth="1"/>
    <col min="16148" max="16384" width="9" style="30"/>
  </cols>
  <sheetData>
    <row r="1" spans="1:44" ht="21.75" customHeight="1">
      <c r="A1" s="545" t="s">
        <v>74</v>
      </c>
      <c r="B1" s="545"/>
      <c r="C1" s="545"/>
      <c r="D1" s="546"/>
      <c r="E1" s="545"/>
      <c r="G1" s="195" t="s">
        <v>75</v>
      </c>
      <c r="H1" s="29"/>
      <c r="J1" s="196">
        <f ca="1">IF(ISBLANK(I10),(OFFSET(S2,R2-1,2))*E9,(OFFSET(S2,R2-1,2))*E9*2)</f>
        <v>53.98533333333333</v>
      </c>
      <c r="S1" s="30" t="s">
        <v>76</v>
      </c>
      <c r="U1" s="30" t="s">
        <v>77</v>
      </c>
      <c r="X1" s="31" t="s">
        <v>78</v>
      </c>
      <c r="Y1" s="30" t="s">
        <v>79</v>
      </c>
      <c r="AM1" s="70">
        <f>SUM(A19:A69)</f>
        <v>0</v>
      </c>
      <c r="AP1" s="104"/>
      <c r="AR1" s="102"/>
    </row>
    <row r="2" spans="1:44" ht="16.5" customHeight="1">
      <c r="A2" s="528" t="s">
        <v>80</v>
      </c>
      <c r="B2" s="528"/>
      <c r="C2" s="304"/>
      <c r="D2" s="193" t="s">
        <v>81</v>
      </c>
      <c r="E2" s="197">
        <v>1</v>
      </c>
      <c r="H2" s="34" t="s">
        <v>82</v>
      </c>
      <c r="R2" s="198">
        <v>16</v>
      </c>
      <c r="S2" s="30" t="s">
        <v>83</v>
      </c>
      <c r="T2" s="30">
        <v>3.6545000000000001</v>
      </c>
      <c r="U2" s="30">
        <f>(115+(10.5*E9))/E9</f>
        <v>96.75</v>
      </c>
      <c r="V2" s="30">
        <v>1</v>
      </c>
      <c r="X2" s="30" t="s">
        <v>84</v>
      </c>
      <c r="Y2" s="30">
        <v>30</v>
      </c>
      <c r="AA2" s="30" t="e">
        <f ca="1">IF(G3&gt;0, IF(G3&lt;=5.7,5,IF(G3&lt;=7.6,7.5,IF(G3&lt;=10.7,10,IF(G3&lt;=15.7,15,IF(G3&lt;=20.7,20,IF(G3&lt;=25.7,25,IF(G3&lt;=30.7,30,0))))))),"NA")</f>
        <v>#N/A</v>
      </c>
      <c r="AC2" s="35" t="s">
        <v>522</v>
      </c>
      <c r="AM2" s="70">
        <f>SUM(A71:A150)</f>
        <v>0</v>
      </c>
      <c r="AP2" s="104"/>
      <c r="AR2" s="102"/>
    </row>
    <row r="3" spans="1:44" ht="16.5" customHeight="1">
      <c r="A3" s="528" t="s">
        <v>85</v>
      </c>
      <c r="B3" s="528"/>
      <c r="C3" s="36"/>
      <c r="D3" s="193" t="s">
        <v>86</v>
      </c>
      <c r="E3" s="32">
        <f>'Estimating Form'!D28</f>
        <v>0</v>
      </c>
      <c r="F3" s="37" t="s">
        <v>87</v>
      </c>
      <c r="G3" s="38" t="e">
        <f ca="1">IF(ISBLANK(H13),G5*G16/29000,(G5*G16/29000)/2)</f>
        <v>#N/A</v>
      </c>
      <c r="H3" s="199">
        <v>0.1477</v>
      </c>
      <c r="I3" s="200"/>
      <c r="J3" s="88"/>
      <c r="M3" s="43" t="str">
        <f ca="1">IF(OFFSET(S2,R2-1,3)=2,"3T Twin Post","Conventional/non-3T Twin Post")</f>
        <v>Conventional/non-3T Twin Post</v>
      </c>
      <c r="S3" s="30" t="s">
        <v>88</v>
      </c>
      <c r="T3" s="30">
        <v>4.2430000000000003</v>
      </c>
      <c r="U3" s="30">
        <f>IF(E9&lt;14,210/E9,(((210+((E9-14)*14.6))/E9)))</f>
        <v>157.5</v>
      </c>
      <c r="V3" s="30">
        <v>1</v>
      </c>
      <c r="X3" s="30" t="s">
        <v>89</v>
      </c>
      <c r="Y3" s="30">
        <v>40</v>
      </c>
      <c r="AA3" s="30" t="e">
        <f ca="1">IF(G3&gt;30.7,IF(G3&lt;=40.7,40,IF(G3&lt;=50.7,50,IF(G3&lt;=60.7,60,IF(G3&lt;=75.7,75,0)))),0)</f>
        <v>#N/A</v>
      </c>
      <c r="AC3" s="35" t="s">
        <v>102</v>
      </c>
      <c r="AG3" s="30" t="s">
        <v>523</v>
      </c>
      <c r="AI3" s="43" t="s">
        <v>524</v>
      </c>
      <c r="AM3" s="70">
        <f>SUM(A152:A154)</f>
        <v>0</v>
      </c>
    </row>
    <row r="4" spans="1:44" ht="16.5" customHeight="1">
      <c r="A4" s="528" t="s">
        <v>90</v>
      </c>
      <c r="B4" s="528"/>
      <c r="C4" s="36"/>
      <c r="D4" s="193" t="s">
        <v>91</v>
      </c>
      <c r="E4" s="32">
        <f>'Estimating Form'!D20</f>
        <v>0</v>
      </c>
      <c r="F4" s="37" t="s">
        <v>92</v>
      </c>
      <c r="G4" s="39" t="e">
        <f>(E3*G6)</f>
        <v>#N/A</v>
      </c>
      <c r="H4" s="547" t="s">
        <v>93</v>
      </c>
      <c r="I4" s="547"/>
      <c r="J4" s="201" t="e">
        <f>IF(ISBLANK(I10),(G5-E4)/((C7/2)*(C7/2)*3.14159)-(0.39*E9),((G5-E4)/((C7/2)*(C7/2)*3.14159*2)-(0.39*E9)))</f>
        <v>#N/A</v>
      </c>
      <c r="M4" s="43" t="str">
        <f ca="1">IF(OFFSET(X2,W18-1,1)&gt;214,"I-3","I-2")</f>
        <v>I-2</v>
      </c>
      <c r="S4" s="30" t="s">
        <v>94</v>
      </c>
      <c r="T4" s="30">
        <v>5.48</v>
      </c>
      <c r="U4" s="30">
        <f>IF(E9&lt;14,277/E9,((((277+((E9-14)*20.16))/E9))))</f>
        <v>207.75</v>
      </c>
      <c r="V4" s="30">
        <v>1</v>
      </c>
      <c r="X4" s="30" t="s">
        <v>95</v>
      </c>
      <c r="Y4" s="30">
        <v>50</v>
      </c>
      <c r="AA4" s="30" t="e">
        <f ca="1">SUM(AA2:AA3)</f>
        <v>#N/A</v>
      </c>
      <c r="AC4" s="43" t="s">
        <v>109</v>
      </c>
      <c r="AG4" s="30" t="s">
        <v>525</v>
      </c>
      <c r="AI4" s="43" t="s">
        <v>526</v>
      </c>
      <c r="AM4" s="70">
        <f>SUM(A156:A192)</f>
        <v>0</v>
      </c>
      <c r="AP4" s="104"/>
      <c r="AR4" s="102"/>
    </row>
    <row r="5" spans="1:44" ht="16.5" customHeight="1">
      <c r="A5" s="528" t="s">
        <v>96</v>
      </c>
      <c r="B5" s="528"/>
      <c r="C5" s="36"/>
      <c r="D5" s="193" t="s">
        <v>97</v>
      </c>
      <c r="E5" s="32"/>
      <c r="F5" s="37" t="s">
        <v>98</v>
      </c>
      <c r="G5" s="41" t="e">
        <f>E4+E11+G9</f>
        <v>#N/A</v>
      </c>
      <c r="H5" s="543" t="s">
        <v>527</v>
      </c>
      <c r="I5" s="544"/>
      <c r="J5" s="202" t="e">
        <f>IF(ISBLANK(I10),(G5/((C7/2)*(C7/2)*3.14159))*1.1,(((G5/((C7/2)*(C7/2)*3.14159*2))*1.1)))</f>
        <v>#N/A</v>
      </c>
      <c r="S5" s="30" t="s">
        <v>100</v>
      </c>
      <c r="T5" s="30">
        <v>4.5</v>
      </c>
      <c r="U5" s="30">
        <f>(235+(4*17.02)+(E9*12.45))/E9</f>
        <v>239.76000000000002</v>
      </c>
      <c r="V5" s="30">
        <v>1</v>
      </c>
      <c r="X5" s="43" t="s">
        <v>101</v>
      </c>
      <c r="Y5" s="30">
        <v>60</v>
      </c>
      <c r="AC5" s="30" t="s">
        <v>114</v>
      </c>
      <c r="AG5" s="43" t="s">
        <v>528</v>
      </c>
      <c r="AI5" s="43" t="s">
        <v>529</v>
      </c>
      <c r="AM5" s="70">
        <f>SUM(A194:A396)</f>
        <v>0</v>
      </c>
      <c r="AP5" s="104"/>
      <c r="AR5" s="102"/>
    </row>
    <row r="6" spans="1:44" ht="16.5" customHeight="1">
      <c r="A6" s="528" t="s">
        <v>103</v>
      </c>
      <c r="B6" s="528"/>
      <c r="C6" s="36"/>
      <c r="D6" s="193" t="s">
        <v>104</v>
      </c>
      <c r="E6" s="203">
        <f>SUM($E$7:$E$8)</f>
        <v>0</v>
      </c>
      <c r="F6" s="37" t="s">
        <v>105</v>
      </c>
      <c r="G6" s="38" t="e">
        <f>IF(ISBLANK(I10),(3.1417*C7*C7)/(4*19.25),(3.1417*C7*C7)/(4*19.25)*2)</f>
        <v>#N/A</v>
      </c>
      <c r="H6" s="517" t="s">
        <v>106</v>
      </c>
      <c r="I6" s="537" t="e">
        <f>IF(J4&gt;90,"Good!","Too Low, increase GLOPU or decrease jack diameter, if above 50 use ASK ENGINEERING")</f>
        <v>#N/A</v>
      </c>
      <c r="J6" s="537"/>
      <c r="S6" s="30" t="s">
        <v>107</v>
      </c>
      <c r="T6" s="30">
        <v>5.1680000000000001</v>
      </c>
      <c r="U6" s="30">
        <f>(289+(4*21.03)+(E9*15.29))/E9</f>
        <v>295.13</v>
      </c>
      <c r="V6" s="30">
        <v>2</v>
      </c>
      <c r="X6" s="43" t="s">
        <v>108</v>
      </c>
      <c r="Y6" s="30">
        <v>70</v>
      </c>
      <c r="AI6" s="43" t="s">
        <v>530</v>
      </c>
      <c r="AM6" s="70">
        <f>SUM(A398:A410)</f>
        <v>0</v>
      </c>
    </row>
    <row r="7" spans="1:44" ht="16.5" customHeight="1" thickBot="1">
      <c r="A7" s="528" t="s">
        <v>110</v>
      </c>
      <c r="B7" s="528"/>
      <c r="C7" s="204" t="e">
        <f>VLOOKUP(G10,S7:U29,2,FALSE)</f>
        <v>#N/A</v>
      </c>
      <c r="D7" s="193" t="s">
        <v>111</v>
      </c>
      <c r="E7" s="32"/>
      <c r="F7" s="37" t="s">
        <v>112</v>
      </c>
      <c r="G7" s="44" t="e">
        <f>G4/G6</f>
        <v>#N/A</v>
      </c>
      <c r="H7" s="518"/>
      <c r="I7" s="538"/>
      <c r="J7" s="538"/>
      <c r="S7" s="104" t="s">
        <v>30</v>
      </c>
      <c r="T7" s="30">
        <v>3.8730000000000002</v>
      </c>
      <c r="U7" s="102">
        <v>9.8620000000000001</v>
      </c>
      <c r="V7" s="30">
        <v>1</v>
      </c>
      <c r="X7" s="43" t="s">
        <v>113</v>
      </c>
      <c r="Y7" s="30">
        <v>80</v>
      </c>
      <c r="AI7" s="43" t="s">
        <v>531</v>
      </c>
      <c r="AM7" s="70">
        <f>SUM(A412:A435)</f>
        <v>0</v>
      </c>
      <c r="AP7" s="104"/>
      <c r="AR7" s="102"/>
    </row>
    <row r="8" spans="1:44" ht="16.5" customHeight="1">
      <c r="A8" s="528" t="s">
        <v>115</v>
      </c>
      <c r="B8" s="528"/>
      <c r="C8" s="36"/>
      <c r="D8" s="193" t="s">
        <v>116</v>
      </c>
      <c r="E8" s="32"/>
      <c r="F8" s="37" t="s">
        <v>117</v>
      </c>
      <c r="G8" s="39" t="e">
        <f>IF(ISBLANK(H13),E9*G6*1.1,(E9*G6*1.1)/2)</f>
        <v>#N/A</v>
      </c>
      <c r="H8" s="539" t="s">
        <v>532</v>
      </c>
      <c r="I8" s="541" t="e">
        <f ca="1">IF(AND(M4="I-3",J5&gt;400),"Too High, reduce GLOPU or increase plunger diameter",IF(OR(AND(M3="Conventional/non-3T Twin Post",J5&gt;500),AND(M3="3T Twin Post",J5&gt;569)),"Too High, reduce GLOPU or increase plunger diameter","Good!"))</f>
        <v>#N/A</v>
      </c>
      <c r="J8" s="541"/>
      <c r="S8" s="104" t="s">
        <v>33</v>
      </c>
      <c r="T8" s="30">
        <v>3.8730000000000002</v>
      </c>
      <c r="U8" s="102">
        <v>20.213999999999999</v>
      </c>
      <c r="V8" s="30">
        <v>1</v>
      </c>
      <c r="X8" s="43" t="s">
        <v>119</v>
      </c>
      <c r="Y8" s="30">
        <v>95</v>
      </c>
      <c r="Z8" s="45">
        <f>SUM(A633,A634,A637,A638,A639, A640,A643,A644,A645,A646,A649,A650,A651,A652,A655,A656,A657,A660,A661,A664,A667,A670,A673)</f>
        <v>0</v>
      </c>
      <c r="AI8" s="43" t="s">
        <v>533</v>
      </c>
      <c r="AM8" s="70">
        <f>SUM(A437:A536)</f>
        <v>0</v>
      </c>
      <c r="AP8" s="104"/>
      <c r="AR8" s="102"/>
    </row>
    <row r="9" spans="1:44" ht="16.5" customHeight="1" thickBot="1">
      <c r="A9" s="528" t="s">
        <v>120</v>
      </c>
      <c r="B9" s="528"/>
      <c r="C9" s="205"/>
      <c r="D9" s="193" t="s">
        <v>121</v>
      </c>
      <c r="E9" s="32">
        <f>'Estimating Form'!G77/12</f>
        <v>1.3333333333333333</v>
      </c>
      <c r="F9" s="46" t="s">
        <v>122</v>
      </c>
      <c r="G9" s="96" t="e">
        <f>VLOOKUP(G10,S7:U29,3,FALSE)*E9</f>
        <v>#N/A</v>
      </c>
      <c r="H9" s="540"/>
      <c r="I9" s="542"/>
      <c r="J9" s="537"/>
      <c r="S9" s="104" t="s">
        <v>36</v>
      </c>
      <c r="T9" s="30">
        <v>4.3600000000000003</v>
      </c>
      <c r="U9" s="102">
        <v>11.396000000000001</v>
      </c>
      <c r="V9" s="30">
        <v>1</v>
      </c>
      <c r="X9" s="43" t="s">
        <v>123</v>
      </c>
      <c r="Y9" s="30">
        <v>105</v>
      </c>
      <c r="Z9" s="45"/>
      <c r="AI9" s="43" t="s">
        <v>501</v>
      </c>
      <c r="AM9" s="70">
        <f>SUM(A538:A558)</f>
        <v>0</v>
      </c>
    </row>
    <row r="10" spans="1:44" ht="16.5" customHeight="1" thickBot="1">
      <c r="A10" s="528" t="s">
        <v>124</v>
      </c>
      <c r="B10" s="528"/>
      <c r="C10" s="205"/>
      <c r="D10" s="35" t="s">
        <v>534</v>
      </c>
      <c r="E10" s="32"/>
      <c r="F10" s="33" t="s">
        <v>125</v>
      </c>
      <c r="G10" s="44">
        <f>'Estimating Form'!E41</f>
        <v>0</v>
      </c>
      <c r="H10" s="206" t="s">
        <v>126</v>
      </c>
      <c r="I10" s="47"/>
      <c r="K10" s="48"/>
      <c r="L10" s="48"/>
      <c r="M10" s="207"/>
      <c r="N10" s="207"/>
      <c r="O10" s="207"/>
      <c r="P10" s="207"/>
      <c r="Q10" s="48"/>
      <c r="S10" s="104" t="s">
        <v>39</v>
      </c>
      <c r="T10" s="30">
        <v>4.3600000000000003</v>
      </c>
      <c r="U10" s="102">
        <v>18.771999999999998</v>
      </c>
      <c r="V10" s="30">
        <v>1</v>
      </c>
      <c r="X10" s="43" t="s">
        <v>127</v>
      </c>
      <c r="Y10" s="30">
        <v>125</v>
      </c>
      <c r="AM10" s="70">
        <f>SUM(A560:A567)</f>
        <v>0</v>
      </c>
      <c r="AP10" s="104"/>
      <c r="AR10" s="102"/>
    </row>
    <row r="11" spans="1:44" ht="16.5" customHeight="1">
      <c r="A11" s="528" t="s">
        <v>128</v>
      </c>
      <c r="B11" s="528"/>
      <c r="C11" s="49"/>
      <c r="D11" s="193" t="s">
        <v>129</v>
      </c>
      <c r="E11" s="32">
        <f>'Estimating Form'!G22-'Estimating Form'!D20</f>
        <v>0</v>
      </c>
      <c r="F11" s="529" t="str">
        <f>IF(ISBLANK(H13), "","! Tandem Requires 2 Starters !")</f>
        <v/>
      </c>
      <c r="G11" s="530"/>
      <c r="H11" s="530"/>
      <c r="I11" s="531" t="str">
        <f>IF(E9&gt;60,"OVER SIZED CASING REQUIRED!           Inform Customer of casing and joint size.","")</f>
        <v/>
      </c>
      <c r="J11" s="531"/>
      <c r="K11" s="48"/>
      <c r="L11" s="48"/>
      <c r="M11" s="207"/>
      <c r="N11" s="207"/>
      <c r="O11" s="207"/>
      <c r="P11" s="207"/>
      <c r="Q11" s="48"/>
      <c r="S11" s="30" t="s">
        <v>42</v>
      </c>
      <c r="T11" s="30">
        <v>4.3600000000000003</v>
      </c>
      <c r="U11" s="30">
        <v>24.251999999999999</v>
      </c>
      <c r="V11" s="30">
        <v>1</v>
      </c>
      <c r="X11" s="43" t="s">
        <v>130</v>
      </c>
      <c r="Y11" s="30">
        <v>150</v>
      </c>
      <c r="AM11" s="70">
        <f>SUM(A569:A604)</f>
        <v>0</v>
      </c>
      <c r="AP11" s="104"/>
      <c r="AR11" s="102"/>
    </row>
    <row r="12" spans="1:44" ht="16.5" customHeight="1" thickBot="1">
      <c r="A12" s="532" t="s">
        <v>131</v>
      </c>
      <c r="B12" s="532"/>
      <c r="C12" s="208">
        <f>E2</f>
        <v>1</v>
      </c>
      <c r="D12" s="193" t="s">
        <v>132</v>
      </c>
      <c r="E12" s="209" t="e">
        <f ca="1">AA4</f>
        <v>#N/A</v>
      </c>
      <c r="F12" s="50" t="s">
        <v>133</v>
      </c>
      <c r="G12" s="210">
        <f>IF(E4&lt;2501,(26),IF(E4=3000,(27),IF(E4=3500,(28),IF(E4=4000,(29),IF(E4=4500,(30),IF(E4=5000,(31),IF(E4&gt;5000,(39))))))))</f>
        <v>26</v>
      </c>
      <c r="H12" s="198"/>
      <c r="I12" s="531"/>
      <c r="J12" s="531"/>
      <c r="S12" s="104" t="s">
        <v>44</v>
      </c>
      <c r="T12" s="30">
        <v>5.4249999999999998</v>
      </c>
      <c r="U12" s="102">
        <v>16.332999999999998</v>
      </c>
      <c r="V12" s="30">
        <v>1</v>
      </c>
      <c r="X12" s="43" t="s">
        <v>134</v>
      </c>
      <c r="Y12" s="30">
        <v>170</v>
      </c>
      <c r="AM12" s="70">
        <f>SUM(A606:A627)</f>
        <v>1</v>
      </c>
      <c r="AR12" s="102"/>
    </row>
    <row r="13" spans="1:44" ht="16.5" customHeight="1" thickBot="1">
      <c r="A13" s="193"/>
      <c r="B13" s="193"/>
      <c r="C13" s="35" t="s">
        <v>135</v>
      </c>
      <c r="D13" s="53" t="s">
        <v>136</v>
      </c>
      <c r="E13" s="54" t="e">
        <f ca="1">G16</f>
        <v>#N/A</v>
      </c>
      <c r="F13" s="533" t="e">
        <f>IF(G4&gt;350,"If Tandem, Mark box -&gt;","")</f>
        <v>#N/A</v>
      </c>
      <c r="G13" s="534"/>
      <c r="H13" s="211"/>
      <c r="I13" s="531"/>
      <c r="J13" s="531"/>
      <c r="S13" s="104" t="s">
        <v>45</v>
      </c>
      <c r="T13" s="30">
        <v>5.4249999999999998</v>
      </c>
      <c r="U13" s="102">
        <v>22.422000000000001</v>
      </c>
      <c r="V13" s="30">
        <v>1</v>
      </c>
      <c r="X13" s="43" t="s">
        <v>137</v>
      </c>
      <c r="Y13" s="30">
        <v>190</v>
      </c>
      <c r="AM13" s="70">
        <f>SUM(A629:A687)</f>
        <v>1</v>
      </c>
      <c r="AP13" s="104"/>
      <c r="AR13" s="102"/>
    </row>
    <row r="14" spans="1:44" ht="16.5" customHeight="1" thickBot="1">
      <c r="A14" s="193"/>
      <c r="B14" s="55" t="str">
        <f>IF(Z8=0,"",IF(Z8&gt;1,"??",'Estimating Form'!C48))</f>
        <v/>
      </c>
      <c r="C14" s="535" t="str">
        <f>IF(Z8=0,"",IF(Z8&gt;1,"Multiple Jacks,Over-write with Correct # of sections per jack","Jack Section(s) Quoted"))</f>
        <v/>
      </c>
      <c r="D14" s="536"/>
      <c r="F14" s="212" t="str">
        <f>IF(ISBLANK(H13),"","Suggested GPMs")</f>
        <v/>
      </c>
      <c r="G14" s="213" t="str">
        <f>IF(ISBLANK(H13),"",G4/2)</f>
        <v/>
      </c>
      <c r="I14" s="531"/>
      <c r="J14" s="531"/>
      <c r="S14" s="30" t="s">
        <v>47</v>
      </c>
      <c r="T14" s="30">
        <v>5.4249999999999998</v>
      </c>
      <c r="U14" s="30">
        <v>28.94</v>
      </c>
      <c r="V14" s="30">
        <v>1</v>
      </c>
      <c r="X14" s="30" t="s">
        <v>138</v>
      </c>
      <c r="Y14" s="30">
        <v>215</v>
      </c>
      <c r="AP14" s="104"/>
      <c r="AR14" s="102"/>
    </row>
    <row r="15" spans="1:44" ht="16.5" customHeight="1" thickBot="1">
      <c r="B15" s="56"/>
      <c r="D15" s="214" t="s">
        <v>535</v>
      </c>
      <c r="E15" s="215" t="e">
        <f>SUM(E19:E938)</f>
        <v>#VALUE!</v>
      </c>
      <c r="F15" s="57" t="s">
        <v>139</v>
      </c>
      <c r="G15" s="44"/>
      <c r="S15" s="104" t="s">
        <v>27</v>
      </c>
      <c r="T15" s="30">
        <v>6.4850000000000003</v>
      </c>
      <c r="U15" s="102">
        <v>20.149999999999999</v>
      </c>
      <c r="V15" s="30">
        <v>1</v>
      </c>
      <c r="X15" s="43" t="s">
        <v>140</v>
      </c>
      <c r="Y15" s="30">
        <v>230</v>
      </c>
      <c r="AP15" s="104"/>
    </row>
    <row r="16" spans="1:44" ht="16.5" customHeight="1" thickBot="1">
      <c r="D16" s="216" t="s">
        <v>536</v>
      </c>
      <c r="E16" s="215" t="e">
        <f>E15*E2</f>
        <v>#VALUE!</v>
      </c>
      <c r="F16" s="58" t="s">
        <v>141</v>
      </c>
      <c r="G16" s="59" t="e">
        <f ca="1">IF(ISBLANK(H13),OFFSET(X2,W18-1,1)/G6,((OFFSET(X2,W18-1,1)/G6)*2))</f>
        <v>#N/A</v>
      </c>
      <c r="H16" s="522" t="str">
        <f>IF(E4&gt;10000,"CONTACT ENGINEERING FOR PRICING !","")</f>
        <v/>
      </c>
      <c r="I16" s="522"/>
      <c r="J16" s="522"/>
      <c r="S16" s="104" t="s">
        <v>53</v>
      </c>
      <c r="T16" s="30">
        <v>6.4850000000000003</v>
      </c>
      <c r="U16" s="102">
        <v>31.579000000000001</v>
      </c>
      <c r="V16" s="30">
        <v>1</v>
      </c>
      <c r="X16" s="43" t="s">
        <v>142</v>
      </c>
      <c r="Y16" s="30">
        <v>260</v>
      </c>
    </row>
    <row r="17" spans="1:37" ht="16.5" customHeight="1" thickBot="1">
      <c r="A17" s="60" t="s">
        <v>143</v>
      </c>
      <c r="B17" s="60" t="s">
        <v>144</v>
      </c>
      <c r="C17" s="60" t="s">
        <v>145</v>
      </c>
      <c r="D17" s="61"/>
      <c r="E17" s="62" t="s">
        <v>146</v>
      </c>
      <c r="F17" s="60" t="s">
        <v>147</v>
      </c>
      <c r="G17" s="63"/>
      <c r="H17" s="217"/>
      <c r="K17" s="63"/>
      <c r="L17" s="63"/>
      <c r="M17" s="414" t="s">
        <v>537</v>
      </c>
      <c r="N17" s="414" t="s">
        <v>538</v>
      </c>
      <c r="O17" s="414" t="s">
        <v>539</v>
      </c>
      <c r="P17" s="427" t="s">
        <v>540</v>
      </c>
      <c r="Q17" s="63"/>
      <c r="S17" s="30" t="s">
        <v>54</v>
      </c>
      <c r="T17" s="30">
        <v>6.4850000000000003</v>
      </c>
      <c r="U17" s="30">
        <v>40.488999999999997</v>
      </c>
      <c r="X17" s="43" t="s">
        <v>148</v>
      </c>
      <c r="Y17" s="30">
        <v>120</v>
      </c>
    </row>
    <row r="18" spans="1:37" ht="16.5" hidden="1" customHeight="1" thickBot="1">
      <c r="A18" s="64" t="str">
        <f>IF(AM1=0,"","-")</f>
        <v/>
      </c>
      <c r="B18" s="65" t="s">
        <v>149</v>
      </c>
      <c r="C18" s="218" t="s">
        <v>181</v>
      </c>
      <c r="D18" s="66"/>
      <c r="E18" s="67"/>
      <c r="F18" s="68">
        <f>SUM(E19:E69)</f>
        <v>0</v>
      </c>
      <c r="G18" s="219"/>
      <c r="H18" s="220"/>
      <c r="K18" s="63"/>
      <c r="L18" s="63"/>
      <c r="Q18" s="63"/>
      <c r="S18" s="104" t="s">
        <v>56</v>
      </c>
      <c r="T18" s="30">
        <v>7.4880000000000004</v>
      </c>
      <c r="U18" s="102">
        <v>27.591999999999999</v>
      </c>
      <c r="W18" s="30">
        <v>25</v>
      </c>
      <c r="X18" s="43" t="s">
        <v>151</v>
      </c>
      <c r="Y18" s="30">
        <v>150</v>
      </c>
      <c r="AB18" s="43"/>
      <c r="AC18" s="43"/>
      <c r="AD18" s="43"/>
      <c r="AE18" s="43"/>
      <c r="AF18" s="43"/>
      <c r="AG18" s="43"/>
      <c r="AH18" s="43"/>
      <c r="AI18" s="43"/>
      <c r="AJ18" s="43"/>
      <c r="AK18" s="43"/>
    </row>
    <row r="19" spans="1:37" s="43" customFormat="1" ht="15.75" hidden="1">
      <c r="A19" s="69"/>
      <c r="B19" s="52">
        <v>12</v>
      </c>
      <c r="C19" s="35" t="s">
        <v>182</v>
      </c>
      <c r="D19" s="35"/>
      <c r="E19" s="221" t="str">
        <f>IF(ISBLANK(A19),"",(A19*M19*(1-$H$3)))</f>
        <v/>
      </c>
      <c r="F19" s="35"/>
      <c r="G19" s="222"/>
      <c r="I19" s="30"/>
      <c r="J19" s="30"/>
      <c r="K19" s="63"/>
      <c r="L19" s="63"/>
      <c r="M19" s="223">
        <f>N19*2</f>
        <v>5800.78125</v>
      </c>
      <c r="N19" s="223">
        <f>P19*O19</f>
        <v>2900.390625</v>
      </c>
      <c r="O19" s="43">
        <v>1.65</v>
      </c>
      <c r="P19" s="224">
        <f>3125*0.9/1.6</f>
        <v>1757.8125</v>
      </c>
      <c r="Q19" s="63"/>
      <c r="R19" s="30"/>
      <c r="S19" s="104" t="s">
        <v>57</v>
      </c>
      <c r="T19" s="30">
        <v>7.4880000000000004</v>
      </c>
      <c r="U19" s="102">
        <v>32.103999999999999</v>
      </c>
      <c r="X19" s="43" t="s">
        <v>152</v>
      </c>
      <c r="Y19" s="30">
        <v>180</v>
      </c>
    </row>
    <row r="20" spans="1:37" s="43" customFormat="1" ht="15.75" hidden="1">
      <c r="A20" s="69"/>
      <c r="B20" s="52">
        <v>12</v>
      </c>
      <c r="C20" s="35" t="s">
        <v>183</v>
      </c>
      <c r="D20" s="35"/>
      <c r="E20" s="221" t="str">
        <f t="shared" ref="E20:E69" si="0">IF(ISBLANK(A20),"",(A20*M20*(1-$H$3)))</f>
        <v/>
      </c>
      <c r="F20" s="35"/>
      <c r="G20" s="222"/>
      <c r="I20" s="30"/>
      <c r="J20" s="30"/>
      <c r="K20" s="63"/>
      <c r="L20" s="63"/>
      <c r="M20" s="223">
        <f t="shared" ref="M20:M83" si="1">N20*2</f>
        <v>5800.78125</v>
      </c>
      <c r="N20" s="223">
        <f>P20*O20</f>
        <v>2900.390625</v>
      </c>
      <c r="O20" s="43">
        <v>1.65</v>
      </c>
      <c r="P20" s="224">
        <f>3125*0.9/1.6</f>
        <v>1757.8125</v>
      </c>
      <c r="Q20" s="63"/>
      <c r="R20" s="30"/>
      <c r="S20" s="43" t="s">
        <v>59</v>
      </c>
      <c r="T20" s="43">
        <v>7.4880000000000004</v>
      </c>
      <c r="U20" s="43">
        <v>49.305</v>
      </c>
      <c r="X20" s="43" t="s">
        <v>153</v>
      </c>
      <c r="Y20" s="30">
        <v>215</v>
      </c>
    </row>
    <row r="21" spans="1:37" s="43" customFormat="1" ht="15.75" hidden="1">
      <c r="A21" s="69"/>
      <c r="B21" s="52">
        <v>12</v>
      </c>
      <c r="C21" s="35" t="s">
        <v>184</v>
      </c>
      <c r="D21" s="35"/>
      <c r="E21" s="221" t="str">
        <f t="shared" si="0"/>
        <v/>
      </c>
      <c r="F21" s="35"/>
      <c r="G21" s="222"/>
      <c r="I21" s="30"/>
      <c r="J21" s="30"/>
      <c r="K21" s="63"/>
      <c r="L21" s="63"/>
      <c r="M21" s="223">
        <f t="shared" si="1"/>
        <v>5800.78125</v>
      </c>
      <c r="N21" s="223">
        <f>P21*O21</f>
        <v>2900.390625</v>
      </c>
      <c r="O21" s="43">
        <v>1.65</v>
      </c>
      <c r="P21" s="224">
        <f>3125*0.9/1.6</f>
        <v>1757.8125</v>
      </c>
      <c r="Q21" s="63"/>
      <c r="R21" s="30"/>
      <c r="S21" s="104" t="s">
        <v>60</v>
      </c>
      <c r="T21" s="30">
        <v>8.4879999999999995</v>
      </c>
      <c r="U21" s="102">
        <v>31.588999999999999</v>
      </c>
      <c r="X21" s="43" t="s">
        <v>154</v>
      </c>
      <c r="Y21" s="30">
        <v>240</v>
      </c>
    </row>
    <row r="22" spans="1:37" s="43" customFormat="1" ht="15.75" hidden="1">
      <c r="A22" s="69"/>
      <c r="B22" s="52">
        <v>12</v>
      </c>
      <c r="C22" s="35" t="s">
        <v>185</v>
      </c>
      <c r="D22" s="35"/>
      <c r="E22" s="221" t="str">
        <f t="shared" si="0"/>
        <v/>
      </c>
      <c r="F22" s="35"/>
      <c r="G22" s="222"/>
      <c r="I22" s="30"/>
      <c r="J22" s="30"/>
      <c r="K22" s="63"/>
      <c r="L22" s="63"/>
      <c r="M22" s="223" t="e">
        <f t="shared" ca="1" si="1"/>
        <v>#N/A</v>
      </c>
      <c r="N22" s="223" t="e">
        <f t="shared" ref="N22:N69" ca="1" si="2">P22*O22</f>
        <v>#N/A</v>
      </c>
      <c r="O22" s="43">
        <v>1.65</v>
      </c>
      <c r="P22" s="224" t="e">
        <f ca="1">IF($G$3&lt;15.7,(3314),IF($G$3&lt;20.7,(3336),IF($G$3&lt;25.7,(3375),IF(G3&lt;30.7,(3573)))))*0.9/1.6</f>
        <v>#N/A</v>
      </c>
      <c r="Q22" s="63"/>
      <c r="R22" s="30"/>
      <c r="S22" s="104" t="s">
        <v>61</v>
      </c>
      <c r="T22" s="30">
        <v>8.4879999999999995</v>
      </c>
      <c r="U22" s="102">
        <v>36.527999999999999</v>
      </c>
      <c r="X22" s="43" t="s">
        <v>155</v>
      </c>
      <c r="Y22" s="43">
        <v>260</v>
      </c>
    </row>
    <row r="23" spans="1:37" s="43" customFormat="1" ht="15.75" hidden="1">
      <c r="A23" s="69"/>
      <c r="B23" s="52">
        <v>12</v>
      </c>
      <c r="C23" s="35" t="s">
        <v>186</v>
      </c>
      <c r="D23" s="35"/>
      <c r="E23" s="221" t="str">
        <f t="shared" si="0"/>
        <v/>
      </c>
      <c r="F23" s="35"/>
      <c r="G23" s="222"/>
      <c r="I23" s="30"/>
      <c r="J23" s="30"/>
      <c r="K23" s="63"/>
      <c r="L23" s="63"/>
      <c r="M23" s="223" t="e">
        <f t="shared" ca="1" si="1"/>
        <v>#N/A</v>
      </c>
      <c r="N23" s="223" t="e">
        <f t="shared" ca="1" si="2"/>
        <v>#N/A</v>
      </c>
      <c r="O23" s="43">
        <v>1.65</v>
      </c>
      <c r="P23" s="224" t="e">
        <f ca="1">IF($G$3&lt;15.7,(3314),IF($G$3&lt;20.7,(3336),IF($G$3&lt;25.7,(3375),IF(G3&lt;30.7,(3573)))))*0.9/1.6</f>
        <v>#N/A</v>
      </c>
      <c r="Q23" s="63"/>
      <c r="R23" s="30"/>
      <c r="S23" s="104" t="s">
        <v>62</v>
      </c>
      <c r="T23" s="30">
        <v>9.4879999999999995</v>
      </c>
      <c r="U23" s="102">
        <v>41.75</v>
      </c>
      <c r="X23" s="43" t="s">
        <v>156</v>
      </c>
      <c r="Y23" s="43">
        <v>300</v>
      </c>
    </row>
    <row r="24" spans="1:37" s="43" customFormat="1" ht="15.75" hidden="1">
      <c r="A24" s="69"/>
      <c r="B24" s="52">
        <v>12</v>
      </c>
      <c r="C24" s="35" t="s">
        <v>187</v>
      </c>
      <c r="D24" s="35"/>
      <c r="E24" s="221" t="str">
        <f t="shared" si="0"/>
        <v/>
      </c>
      <c r="F24" s="35"/>
      <c r="G24" s="222"/>
      <c r="I24" s="30"/>
      <c r="J24" s="30"/>
      <c r="K24" s="63"/>
      <c r="L24" s="63"/>
      <c r="M24" s="223" t="e">
        <f t="shared" ca="1" si="1"/>
        <v>#N/A</v>
      </c>
      <c r="N24" s="223" t="e">
        <f t="shared" ca="1" si="2"/>
        <v>#N/A</v>
      </c>
      <c r="O24" s="43">
        <v>1.65</v>
      </c>
      <c r="P24" s="224" t="e">
        <f ca="1">IF($G$3&lt;15.7,(3314),IF($G$3&lt;20.7,(3336),IF($G$3&lt;25.7,(3375),IF(G3&lt;30.7,(3573)))))*0.9/1.6</f>
        <v>#N/A</v>
      </c>
      <c r="Q24" s="63"/>
      <c r="R24" s="30"/>
      <c r="S24" s="105" t="s">
        <v>63</v>
      </c>
      <c r="T24" s="43">
        <v>9.4879999999999995</v>
      </c>
      <c r="U24" s="103">
        <v>64.132000000000005</v>
      </c>
      <c r="X24" s="43" t="s">
        <v>157</v>
      </c>
      <c r="Y24" s="43">
        <v>320</v>
      </c>
      <c r="Z24" s="70"/>
    </row>
    <row r="25" spans="1:37" s="43" customFormat="1" ht="15.75" hidden="1">
      <c r="A25" s="69"/>
      <c r="B25" s="52">
        <v>12</v>
      </c>
      <c r="C25" s="35" t="s">
        <v>188</v>
      </c>
      <c r="D25" s="35"/>
      <c r="E25" s="221" t="str">
        <f t="shared" si="0"/>
        <v/>
      </c>
      <c r="F25" s="35"/>
      <c r="G25" s="222"/>
      <c r="I25" s="30"/>
      <c r="J25" s="30"/>
      <c r="K25" s="63"/>
      <c r="L25" s="63"/>
      <c r="M25" s="223" t="e">
        <f t="shared" ca="1" si="1"/>
        <v>#N/A</v>
      </c>
      <c r="N25" s="223" t="e">
        <f t="shared" ca="1" si="2"/>
        <v>#N/A</v>
      </c>
      <c r="O25" s="43">
        <v>1.65</v>
      </c>
      <c r="P25" s="224" t="e">
        <f ca="1">IF($G$3&lt;15.7,(3443),IF($G$3&lt;20.7,(3462),IF($G$3&lt;25.7,(3503),IF($G$3&lt;30.7,(3573)))))*0.9/1.6</f>
        <v>#N/A</v>
      </c>
      <c r="Q25" s="63"/>
      <c r="R25" s="30"/>
      <c r="S25" s="104" t="s">
        <v>64</v>
      </c>
      <c r="T25" s="30">
        <v>10.613</v>
      </c>
      <c r="U25" s="102">
        <v>46.466999999999999</v>
      </c>
      <c r="X25" s="43" t="s">
        <v>158</v>
      </c>
      <c r="Y25" s="43">
        <v>350</v>
      </c>
    </row>
    <row r="26" spans="1:37" s="43" customFormat="1" ht="15.75" hidden="1">
      <c r="A26" s="69"/>
      <c r="B26" s="52">
        <v>12</v>
      </c>
      <c r="C26" s="35" t="s">
        <v>189</v>
      </c>
      <c r="D26" s="35"/>
      <c r="E26" s="221" t="str">
        <f t="shared" si="0"/>
        <v/>
      </c>
      <c r="F26" s="35"/>
      <c r="G26" s="222"/>
      <c r="I26" s="30"/>
      <c r="J26" s="30"/>
      <c r="K26" s="63"/>
      <c r="L26" s="63"/>
      <c r="M26" s="223" t="e">
        <f t="shared" ca="1" si="1"/>
        <v>#N/A</v>
      </c>
      <c r="N26" s="223" t="e">
        <f t="shared" ca="1" si="2"/>
        <v>#N/A</v>
      </c>
      <c r="O26" s="43">
        <v>1.65</v>
      </c>
      <c r="P26" s="224" t="e">
        <f ca="1">IF($G$3&lt;15.7,(3574),IF($G$3&lt;20.7,(3588),IF($G$3&lt;25.7,(3634),IF($G$3&lt;30.7,(3704),IF($G$3&lt;40.7,(3740),IF($G$3&lt;50.7,(4228)))))))*0.9/1.6</f>
        <v>#N/A</v>
      </c>
      <c r="Q26" s="63"/>
      <c r="R26" s="30"/>
      <c r="S26" s="105" t="s">
        <v>65</v>
      </c>
      <c r="T26" s="43">
        <v>10.613</v>
      </c>
      <c r="U26" s="103">
        <v>56.076999999999998</v>
      </c>
      <c r="Z26" s="70"/>
    </row>
    <row r="27" spans="1:37" s="43" customFormat="1" ht="15.75" hidden="1">
      <c r="A27" s="69"/>
      <c r="B27" s="52">
        <v>12</v>
      </c>
      <c r="C27" s="35" t="s">
        <v>190</v>
      </c>
      <c r="D27" s="35"/>
      <c r="E27" s="221" t="str">
        <f t="shared" si="0"/>
        <v/>
      </c>
      <c r="F27" s="35"/>
      <c r="G27" s="222"/>
      <c r="I27" s="30"/>
      <c r="J27" s="30"/>
      <c r="K27" s="63"/>
      <c r="L27" s="63"/>
      <c r="M27" s="223" t="e">
        <f t="shared" ca="1" si="1"/>
        <v>#N/A</v>
      </c>
      <c r="N27" s="223" t="e">
        <f t="shared" ca="1" si="2"/>
        <v>#N/A</v>
      </c>
      <c r="O27" s="43">
        <v>1.65</v>
      </c>
      <c r="P27" s="224" t="e">
        <f ca="1">IF($G$3&lt;15.7,(3574),IF($G$3&lt;20.7,(3588),IF($G$3&lt;25.7,(3634),IF($G$3&lt;30.7,(3704),IF($G$3&lt;40.7,(3740),IF($G$3&lt;50.7,4228))))))*0.9/1.6</f>
        <v>#N/A</v>
      </c>
      <c r="Q27" s="63"/>
      <c r="R27" s="30"/>
      <c r="S27" s="104" t="s">
        <v>67</v>
      </c>
      <c r="T27" s="30">
        <v>12.613</v>
      </c>
      <c r="U27" s="102">
        <v>56.155999999999999</v>
      </c>
    </row>
    <row r="28" spans="1:37" s="43" customFormat="1" ht="15.75" hidden="1">
      <c r="A28" s="69"/>
      <c r="B28" s="52">
        <v>12</v>
      </c>
      <c r="C28" s="35" t="s">
        <v>191</v>
      </c>
      <c r="D28" s="35"/>
      <c r="E28" s="221" t="str">
        <f t="shared" si="0"/>
        <v/>
      </c>
      <c r="F28" s="35"/>
      <c r="G28" s="222"/>
      <c r="I28" s="30"/>
      <c r="J28" s="30"/>
      <c r="K28" s="63"/>
      <c r="L28" s="63"/>
      <c r="M28" s="223" t="e">
        <f t="shared" ca="1" si="1"/>
        <v>#N/A</v>
      </c>
      <c r="N28" s="223" t="e">
        <f t="shared" ca="1" si="2"/>
        <v>#N/A</v>
      </c>
      <c r="O28" s="43">
        <v>1.65</v>
      </c>
      <c r="P28" s="224" t="e">
        <f ca="1">IF($G$3&lt;15.7,(3810),IF($G$3&lt;20.7,(3825),IF($G$3&lt;25.7,(3870),IF($G$3&lt;30.7,(3940),IF($G$3&lt;40.7,(3976),IF($G$3&lt;50.7,4228))))))*0.9/1.6</f>
        <v>#N/A</v>
      </c>
      <c r="Q28" s="63"/>
      <c r="R28" s="30"/>
      <c r="S28" s="105" t="s">
        <v>68</v>
      </c>
      <c r="T28" s="43">
        <v>12.613</v>
      </c>
      <c r="U28" s="103">
        <v>63.902999999999999</v>
      </c>
    </row>
    <row r="29" spans="1:37" s="43" customFormat="1" ht="15.75" hidden="1">
      <c r="A29" s="69"/>
      <c r="B29" s="52">
        <v>12</v>
      </c>
      <c r="C29" s="35" t="s">
        <v>192</v>
      </c>
      <c r="D29" s="35"/>
      <c r="E29" s="221" t="str">
        <f t="shared" si="0"/>
        <v/>
      </c>
      <c r="F29" s="35"/>
      <c r="G29" s="222"/>
      <c r="I29" s="30"/>
      <c r="J29" s="30"/>
      <c r="K29" s="63"/>
      <c r="L29" s="63"/>
      <c r="M29" s="223" t="e">
        <f t="shared" ca="1" si="1"/>
        <v>#N/A</v>
      </c>
      <c r="N29" s="223" t="e">
        <f t="shared" ca="1" si="2"/>
        <v>#N/A</v>
      </c>
      <c r="O29" s="43">
        <v>1.65</v>
      </c>
      <c r="P29" s="224" t="e">
        <f ca="1">IF($G$3&lt;15.7,(3816),IF($G$3&lt;20.7,(3856),IF($G$3&lt;25.7,(3876),IF($G$3&lt;30.7,(3946),IF($G$3&lt;40.7,(3982),IF($G$3&lt;50.7,4578))))))*0.9/1.6</f>
        <v>#N/A</v>
      </c>
      <c r="Q29" s="63"/>
      <c r="R29" s="30"/>
      <c r="S29" s="104" t="s">
        <v>69</v>
      </c>
      <c r="T29" s="30">
        <v>15.75</v>
      </c>
      <c r="U29" s="102">
        <v>85.337000000000003</v>
      </c>
      <c r="Z29" s="70"/>
    </row>
    <row r="30" spans="1:37" s="43" customFormat="1" ht="15.75" hidden="1">
      <c r="A30" s="69"/>
      <c r="B30" s="52">
        <v>12</v>
      </c>
      <c r="C30" s="35" t="s">
        <v>193</v>
      </c>
      <c r="D30" s="35"/>
      <c r="E30" s="221" t="str">
        <f t="shared" si="0"/>
        <v/>
      </c>
      <c r="F30" s="35"/>
      <c r="G30" s="222"/>
      <c r="I30" s="30"/>
      <c r="J30" s="30"/>
      <c r="K30" s="63"/>
      <c r="L30" s="63"/>
      <c r="M30" s="223" t="e">
        <f t="shared" ca="1" si="1"/>
        <v>#N/A</v>
      </c>
      <c r="N30" s="223" t="e">
        <f t="shared" ca="1" si="2"/>
        <v>#N/A</v>
      </c>
      <c r="O30" s="43">
        <v>1.65</v>
      </c>
      <c r="P30" s="224" t="e">
        <f ca="1">IF($G$3&lt;15.7,(3816),IF($G$3&lt;20.7,(3856),IF($G$3&lt;25.7,(3876),IF($G$3&lt;30.7,(3946),IF($G$3&lt;40.7,(3982),IF($G$3&lt;50.7,4578))))))*0.9/1.6</f>
        <v>#N/A</v>
      </c>
      <c r="Q30" s="63"/>
      <c r="R30" s="30"/>
      <c r="Z30" s="70"/>
    </row>
    <row r="31" spans="1:37" s="43" customFormat="1" ht="15.75" hidden="1">
      <c r="A31" s="69"/>
      <c r="B31" s="52">
        <v>12</v>
      </c>
      <c r="C31" s="35" t="s">
        <v>194</v>
      </c>
      <c r="D31" s="35"/>
      <c r="E31" s="221" t="str">
        <f t="shared" si="0"/>
        <v/>
      </c>
      <c r="F31" s="35"/>
      <c r="G31" s="222"/>
      <c r="I31" s="30"/>
      <c r="J31" s="30"/>
      <c r="K31" s="63"/>
      <c r="L31" s="63"/>
      <c r="M31" s="223" t="e">
        <f t="shared" ca="1" si="1"/>
        <v>#N/A</v>
      </c>
      <c r="N31" s="223" t="e">
        <f t="shared" ca="1" si="2"/>
        <v>#N/A</v>
      </c>
      <c r="O31" s="43">
        <v>1.65</v>
      </c>
      <c r="P31" s="224" t="e">
        <f ca="1">IF($G$3&lt;30.7,(4057),IF($G$3&lt;40.7,(4077),IF($G$3&lt;50.7,(4127),IF($G$3&lt;60.7,4179))))*0.9/1.6</f>
        <v>#N/A</v>
      </c>
      <c r="Q31" s="63"/>
      <c r="R31" s="30"/>
    </row>
    <row r="32" spans="1:37" s="43" customFormat="1" ht="15.75" hidden="1">
      <c r="A32" s="69"/>
      <c r="B32" s="52">
        <v>12</v>
      </c>
      <c r="C32" s="35" t="s">
        <v>195</v>
      </c>
      <c r="D32" s="35"/>
      <c r="E32" s="221" t="str">
        <f t="shared" si="0"/>
        <v/>
      </c>
      <c r="F32" s="35"/>
      <c r="G32" s="222"/>
      <c r="I32" s="30"/>
      <c r="J32" s="30"/>
      <c r="K32" s="63"/>
      <c r="L32" s="63"/>
      <c r="M32" s="223" t="e">
        <f t="shared" ca="1" si="1"/>
        <v>#N/A</v>
      </c>
      <c r="N32" s="223" t="e">
        <f t="shared" ca="1" si="2"/>
        <v>#N/A</v>
      </c>
      <c r="O32" s="43">
        <v>1.65</v>
      </c>
      <c r="P32" s="224" t="e">
        <f ca="1">IF($G$3&lt;30.7,(4887),IF($G$3&lt;40.7,(4909),IF($G$3&lt;50.7,(4966),IF($G$3&lt;60.7,5025))))*0.9/1.6</f>
        <v>#N/A</v>
      </c>
      <c r="Q32" s="63"/>
      <c r="R32" s="30"/>
    </row>
    <row r="33" spans="1:18" s="43" customFormat="1" ht="15.75" hidden="1">
      <c r="A33" s="69"/>
      <c r="B33" s="52">
        <v>12</v>
      </c>
      <c r="C33" s="35" t="s">
        <v>196</v>
      </c>
      <c r="D33" s="35"/>
      <c r="E33" s="221" t="str">
        <f t="shared" si="0"/>
        <v/>
      </c>
      <c r="F33" s="35"/>
      <c r="G33" s="222"/>
      <c r="I33" s="30"/>
      <c r="J33" s="30"/>
      <c r="K33" s="63"/>
      <c r="L33" s="63"/>
      <c r="M33" s="223" t="e">
        <f t="shared" ca="1" si="1"/>
        <v>#N/A</v>
      </c>
      <c r="N33" s="223" t="e">
        <f t="shared" ca="1" si="2"/>
        <v>#N/A</v>
      </c>
      <c r="O33" s="43">
        <v>1.65</v>
      </c>
      <c r="P33" s="224" t="e">
        <f ca="1">IF($G$3&lt;30.7,(5277),IF($G$3&lt;40.7,(5298),IF($G$3&lt;50.7,(5356),IF($G$3&lt;60.7,5390))))*0.9/1.6</f>
        <v>#N/A</v>
      </c>
      <c r="Q33" s="63"/>
      <c r="R33" s="30"/>
    </row>
    <row r="34" spans="1:18" s="43" customFormat="1" ht="15.75" hidden="1">
      <c r="A34" s="69"/>
      <c r="B34" s="52">
        <v>12</v>
      </c>
      <c r="C34" s="35" t="s">
        <v>197</v>
      </c>
      <c r="D34" s="35"/>
      <c r="E34" s="221" t="str">
        <f t="shared" si="0"/>
        <v/>
      </c>
      <c r="F34" s="35"/>
      <c r="G34" s="222"/>
      <c r="I34" s="30"/>
      <c r="J34" s="30"/>
      <c r="K34" s="63"/>
      <c r="L34" s="63"/>
      <c r="M34" s="223" t="e">
        <f t="shared" ca="1" si="1"/>
        <v>#N/A</v>
      </c>
      <c r="N34" s="223" t="e">
        <f t="shared" ca="1" si="2"/>
        <v>#N/A</v>
      </c>
      <c r="O34" s="43">
        <v>1.65</v>
      </c>
      <c r="P34" s="224" t="e">
        <f ca="1">IF($G$3&lt;25.7,(4912),IF($G$3&lt;30.7,(5185),IF($G$3&lt;40.7,(5376),IF($G$3&lt;50.7,(6227)))))*0.9/1.6</f>
        <v>#N/A</v>
      </c>
      <c r="Q34" s="63"/>
      <c r="R34" s="30"/>
    </row>
    <row r="35" spans="1:18" s="43" customFormat="1" ht="15.75" hidden="1">
      <c r="A35" s="69"/>
      <c r="B35" s="52">
        <v>12</v>
      </c>
      <c r="C35" s="35" t="s">
        <v>198</v>
      </c>
      <c r="D35" s="35"/>
      <c r="E35" s="221" t="str">
        <f t="shared" si="0"/>
        <v/>
      </c>
      <c r="F35" s="35"/>
      <c r="G35" s="222"/>
      <c r="I35" s="30"/>
      <c r="J35" s="30"/>
      <c r="K35" s="63"/>
      <c r="L35" s="63"/>
      <c r="M35" s="223" t="e">
        <f t="shared" ca="1" si="1"/>
        <v>#N/A</v>
      </c>
      <c r="N35" s="223" t="e">
        <f t="shared" ca="1" si="2"/>
        <v>#N/A</v>
      </c>
      <c r="O35" s="43">
        <v>1.65</v>
      </c>
      <c r="P35" s="224" t="e">
        <f ca="1">IF($G$3&lt;25.7,(4912),IF($G$3&lt;30.7,(5185),IF($G$3&lt;40.7,(5376),IF($G$3&lt;50.7,(6227)))))*0.9/1.6</f>
        <v>#N/A</v>
      </c>
      <c r="Q35" s="63"/>
      <c r="R35" s="30"/>
    </row>
    <row r="36" spans="1:18" s="43" customFormat="1" ht="15.75" hidden="1">
      <c r="A36" s="69"/>
      <c r="B36" s="52">
        <v>12</v>
      </c>
      <c r="C36" s="35" t="s">
        <v>199</v>
      </c>
      <c r="D36" s="35"/>
      <c r="E36" s="221" t="str">
        <f t="shared" si="0"/>
        <v/>
      </c>
      <c r="F36" s="35"/>
      <c r="G36" s="222"/>
      <c r="I36" s="30"/>
      <c r="J36" s="30"/>
      <c r="K36" s="63"/>
      <c r="L36" s="63"/>
      <c r="M36" s="223" t="e">
        <f t="shared" ca="1" si="1"/>
        <v>#N/A</v>
      </c>
      <c r="N36" s="223" t="e">
        <f t="shared" ca="1" si="2"/>
        <v>#N/A</v>
      </c>
      <c r="O36" s="43">
        <v>1.65</v>
      </c>
      <c r="P36" s="224" t="e">
        <f ca="1">IF($G$3&lt;25.7,(5376),IF($G$3&lt;30.7,(5529),IF($G$3&lt;40.7,(5705),IF($G$3&lt;50.7,(6227),IF($G$3&lt;60.7,(6681),IF($G$3&lt;75.7,7048))))))*0.9/1.6</f>
        <v>#N/A</v>
      </c>
      <c r="Q36" s="63"/>
      <c r="R36" s="30"/>
    </row>
    <row r="37" spans="1:18" s="43" customFormat="1" ht="15.75" hidden="1">
      <c r="A37" s="69"/>
      <c r="B37" s="52">
        <v>12</v>
      </c>
      <c r="C37" s="35" t="s">
        <v>200</v>
      </c>
      <c r="D37" s="35"/>
      <c r="E37" s="221" t="str">
        <f t="shared" si="0"/>
        <v/>
      </c>
      <c r="F37" s="35"/>
      <c r="G37" s="222"/>
      <c r="I37" s="30"/>
      <c r="J37" s="30"/>
      <c r="K37" s="63"/>
      <c r="L37" s="63"/>
      <c r="M37" s="223" t="e">
        <f t="shared" ca="1" si="1"/>
        <v>#N/A</v>
      </c>
      <c r="N37" s="223" t="e">
        <f t="shared" ca="1" si="2"/>
        <v>#N/A</v>
      </c>
      <c r="O37" s="43">
        <v>1.65</v>
      </c>
      <c r="P37" s="224" t="e">
        <f ca="1">IF($G$3&lt;25.7,(5376),IF($G$3&lt;30.7,(5529),IF($G$3&lt;40.7,(5705),IF($G$3&lt;50.7,(6227),IF($G$3&lt;60.7,(6681),IF($G$3&lt;75.7,7048))))))*0.9/1.6</f>
        <v>#N/A</v>
      </c>
      <c r="Q37" s="63"/>
      <c r="R37" s="30"/>
    </row>
    <row r="38" spans="1:18" s="43" customFormat="1" ht="15.75" hidden="1">
      <c r="A38" s="69"/>
      <c r="B38" s="52">
        <v>12</v>
      </c>
      <c r="C38" s="35" t="s">
        <v>201</v>
      </c>
      <c r="D38" s="35"/>
      <c r="E38" s="221" t="str">
        <f t="shared" si="0"/>
        <v/>
      </c>
      <c r="F38" s="35"/>
      <c r="G38" s="222"/>
      <c r="I38" s="30"/>
      <c r="J38" s="30"/>
      <c r="K38" s="63"/>
      <c r="L38" s="63"/>
      <c r="M38" s="223" t="e">
        <f t="shared" ca="1" si="1"/>
        <v>#N/A</v>
      </c>
      <c r="N38" s="223" t="e">
        <f t="shared" ca="1" si="2"/>
        <v>#N/A</v>
      </c>
      <c r="O38" s="43">
        <v>1.65</v>
      </c>
      <c r="P38" s="224" t="e">
        <f ca="1">IF($G$3&lt;40.7,(7241),IF($G$3&lt;50.7,(7730),IF($G$3&lt;60.7,(8217),IF($G$3&lt;75.7,(8427)))))*0.9/1.6</f>
        <v>#N/A</v>
      </c>
      <c r="Q38" s="63"/>
      <c r="R38" s="30"/>
    </row>
    <row r="39" spans="1:18" s="43" customFormat="1" ht="15.75" hidden="1">
      <c r="A39" s="69"/>
      <c r="B39" s="52">
        <v>12</v>
      </c>
      <c r="C39" s="35" t="s">
        <v>202</v>
      </c>
      <c r="D39" s="35"/>
      <c r="E39" s="221" t="str">
        <f t="shared" si="0"/>
        <v/>
      </c>
      <c r="F39" s="35"/>
      <c r="G39" s="222"/>
      <c r="I39" s="30"/>
      <c r="J39" s="30"/>
      <c r="K39" s="63"/>
      <c r="L39" s="63"/>
      <c r="M39" s="223" t="e">
        <f t="shared" ca="1" si="1"/>
        <v>#N/A</v>
      </c>
      <c r="N39" s="223" t="e">
        <f t="shared" ca="1" si="2"/>
        <v>#N/A</v>
      </c>
      <c r="O39" s="43">
        <v>1.65</v>
      </c>
      <c r="P39" s="224" t="e">
        <f ca="1">IF($G$3&lt;40.7,(7241),IF($G$3&lt;50.7,(7730),IF($G$3&lt;60.7,(8217),IF($G$3&lt;75.7,(8427)))))*0.9/1.6</f>
        <v>#N/A</v>
      </c>
      <c r="Q39" s="63"/>
      <c r="R39" s="30"/>
    </row>
    <row r="40" spans="1:18" s="43" customFormat="1" ht="15.75" hidden="1">
      <c r="A40" s="69"/>
      <c r="B40" s="52">
        <v>12</v>
      </c>
      <c r="C40" s="35" t="s">
        <v>203</v>
      </c>
      <c r="D40" s="35"/>
      <c r="E40" s="221" t="str">
        <f t="shared" si="0"/>
        <v/>
      </c>
      <c r="F40" s="35"/>
      <c r="G40" s="222"/>
      <c r="I40" s="30"/>
      <c r="J40" s="30"/>
      <c r="K40" s="63"/>
      <c r="L40" s="63"/>
      <c r="M40" s="223" t="e">
        <f t="shared" ca="1" si="1"/>
        <v>#N/A</v>
      </c>
      <c r="N40" s="223" t="e">
        <f t="shared" ca="1" si="2"/>
        <v>#N/A</v>
      </c>
      <c r="O40" s="43">
        <v>1.65</v>
      </c>
      <c r="P40" s="224" t="e">
        <f ca="1">IF($G$3&lt;40.7,(7241),IF($G$3&lt;50.7,(7730),IF($G$3&lt;60.7,(8217),IF($G$3&lt;75.7,(8427)))))*0.9/1.6</f>
        <v>#N/A</v>
      </c>
      <c r="Q40" s="63"/>
      <c r="R40" s="30"/>
    </row>
    <row r="41" spans="1:18" s="43" customFormat="1" ht="15.75" hidden="1">
      <c r="A41" s="69"/>
      <c r="B41" s="52">
        <v>12</v>
      </c>
      <c r="C41" s="35" t="s">
        <v>204</v>
      </c>
      <c r="D41" s="35"/>
      <c r="E41" s="221" t="str">
        <f t="shared" si="0"/>
        <v/>
      </c>
      <c r="F41" s="35"/>
      <c r="G41" s="222"/>
      <c r="I41" s="30"/>
      <c r="J41" s="30"/>
      <c r="K41" s="63"/>
      <c r="L41" s="63"/>
      <c r="M41" s="223" t="e">
        <f t="shared" ca="1" si="1"/>
        <v>#N/A</v>
      </c>
      <c r="N41" s="223" t="e">
        <f t="shared" ca="1" si="2"/>
        <v>#N/A</v>
      </c>
      <c r="O41" s="43">
        <v>1.65</v>
      </c>
      <c r="P41" s="224" t="e">
        <f ca="1">IF($G$3&lt;40.7,(8713),IF($G$3&lt;50.7,(9148),IF($G$3&lt;60.7,(9675),IF($G$3&lt;75.7,(9877)))))*0.9/1.6</f>
        <v>#N/A</v>
      </c>
      <c r="Q41" s="63"/>
      <c r="R41" s="30"/>
    </row>
    <row r="42" spans="1:18" s="43" customFormat="1" ht="15.75" hidden="1">
      <c r="A42" s="69"/>
      <c r="B42" s="52">
        <v>12</v>
      </c>
      <c r="C42" s="35" t="s">
        <v>205</v>
      </c>
      <c r="D42" s="35"/>
      <c r="E42" s="221" t="str">
        <f t="shared" si="0"/>
        <v/>
      </c>
      <c r="F42" s="35"/>
      <c r="G42" s="222"/>
      <c r="I42" s="30"/>
      <c r="J42" s="30"/>
      <c r="K42" s="63"/>
      <c r="L42" s="63"/>
      <c r="M42" s="223" t="e">
        <f t="shared" ca="1" si="1"/>
        <v>#N/A</v>
      </c>
      <c r="N42" s="223" t="e">
        <f t="shared" ca="1" si="2"/>
        <v>#N/A</v>
      </c>
      <c r="O42" s="43">
        <v>1.65</v>
      </c>
      <c r="P42" s="224" t="e">
        <f ca="1">IF($G$3&lt;40.7,(8713),IF($G$3&lt;50.7,(9148),IF($G$3&lt;60.7,(9675),IF($G$3&lt;75.7,(9877)))))*0.9/1.6</f>
        <v>#N/A</v>
      </c>
      <c r="Q42" s="63"/>
      <c r="R42" s="30"/>
    </row>
    <row r="43" spans="1:18" s="43" customFormat="1" ht="15.75" hidden="1">
      <c r="A43" s="69"/>
      <c r="B43" s="52">
        <v>12</v>
      </c>
      <c r="C43" s="35" t="s">
        <v>206</v>
      </c>
      <c r="D43" s="35"/>
      <c r="E43" s="221" t="str">
        <f t="shared" si="0"/>
        <v/>
      </c>
      <c r="F43" s="35"/>
      <c r="G43" s="222"/>
      <c r="I43" s="30"/>
      <c r="J43" s="30"/>
      <c r="K43" s="63"/>
      <c r="L43" s="63"/>
      <c r="M43" s="223">
        <f t="shared" si="1"/>
        <v>4594.21875</v>
      </c>
      <c r="N43" s="223">
        <f t="shared" si="2"/>
        <v>2297.109375</v>
      </c>
      <c r="O43" s="43">
        <v>1.65</v>
      </c>
      <c r="P43" s="224">
        <f>2475*0.9/1.6</f>
        <v>1392.1875</v>
      </c>
      <c r="Q43" s="63"/>
      <c r="R43" s="30"/>
    </row>
    <row r="44" spans="1:18" s="43" customFormat="1" ht="15.75" hidden="1">
      <c r="A44" s="69"/>
      <c r="B44" s="52">
        <v>12</v>
      </c>
      <c r="C44" s="35" t="s">
        <v>207</v>
      </c>
      <c r="D44" s="35"/>
      <c r="E44" s="221" t="str">
        <f t="shared" si="0"/>
        <v/>
      </c>
      <c r="F44" s="35"/>
      <c r="G44" s="222"/>
      <c r="I44" s="30"/>
      <c r="J44" s="30"/>
      <c r="K44" s="63"/>
      <c r="L44" s="63"/>
      <c r="M44" s="223">
        <f t="shared" si="1"/>
        <v>490.04999999999995</v>
      </c>
      <c r="N44" s="223">
        <f t="shared" si="2"/>
        <v>245.02499999999998</v>
      </c>
      <c r="O44" s="43">
        <v>1.65</v>
      </c>
      <c r="P44" s="224">
        <f>264*0.9/1.6</f>
        <v>148.5</v>
      </c>
      <c r="Q44" s="63"/>
      <c r="R44" s="30"/>
    </row>
    <row r="45" spans="1:18" s="43" customFormat="1" ht="15.75" hidden="1">
      <c r="A45" s="69"/>
      <c r="B45" s="52">
        <v>12</v>
      </c>
      <c r="C45" s="35" t="s">
        <v>208</v>
      </c>
      <c r="D45" s="35"/>
      <c r="E45" s="221" t="str">
        <f t="shared" si="0"/>
        <v/>
      </c>
      <c r="F45" s="35"/>
      <c r="G45" s="225"/>
      <c r="I45" s="30"/>
      <c r="J45" s="30"/>
      <c r="K45" s="63"/>
      <c r="L45" s="63"/>
      <c r="M45" s="223">
        <f t="shared" si="1"/>
        <v>287.71875</v>
      </c>
      <c r="N45" s="223">
        <f t="shared" si="2"/>
        <v>143.859375</v>
      </c>
      <c r="O45" s="43">
        <v>1.65</v>
      </c>
      <c r="P45" s="224">
        <f>155*0.9/1.6</f>
        <v>87.1875</v>
      </c>
      <c r="Q45" s="63"/>
      <c r="R45" s="30"/>
    </row>
    <row r="46" spans="1:18" s="73" customFormat="1" ht="15.75" hidden="1">
      <c r="A46" s="69"/>
      <c r="B46" s="52">
        <v>12</v>
      </c>
      <c r="C46" s="35" t="s">
        <v>209</v>
      </c>
      <c r="D46" s="35"/>
      <c r="E46" s="221" t="str">
        <f t="shared" si="0"/>
        <v/>
      </c>
      <c r="F46" s="35"/>
      <c r="G46" s="225"/>
      <c r="I46" s="30"/>
      <c r="J46" s="30"/>
      <c r="K46" s="63"/>
      <c r="L46" s="63"/>
      <c r="M46" s="223">
        <f t="shared" si="1"/>
        <v>154.06874999999999</v>
      </c>
      <c r="N46" s="223">
        <f t="shared" si="2"/>
        <v>77.034374999999997</v>
      </c>
      <c r="O46" s="43">
        <v>1.65</v>
      </c>
      <c r="P46" s="224">
        <f>83*0.9/1.6</f>
        <v>46.6875</v>
      </c>
      <c r="Q46" s="63"/>
      <c r="R46" s="30"/>
    </row>
    <row r="47" spans="1:18" s="43" customFormat="1" ht="15.75" hidden="1">
      <c r="A47" s="69"/>
      <c r="B47" s="52">
        <v>12</v>
      </c>
      <c r="C47" s="35" t="s">
        <v>210</v>
      </c>
      <c r="D47" s="35"/>
      <c r="E47" s="221" t="str">
        <f t="shared" si="0"/>
        <v/>
      </c>
      <c r="F47" s="35"/>
      <c r="G47" s="225"/>
      <c r="I47" s="30"/>
      <c r="J47" s="30"/>
      <c r="K47" s="63"/>
      <c r="L47" s="63"/>
      <c r="M47" s="223">
        <f t="shared" si="1"/>
        <v>347.11874999999998</v>
      </c>
      <c r="N47" s="223">
        <f t="shared" si="2"/>
        <v>173.55937499999999</v>
      </c>
      <c r="O47" s="43">
        <v>1.65</v>
      </c>
      <c r="P47" s="224">
        <f>187*0.9/1.6</f>
        <v>105.1875</v>
      </c>
      <c r="Q47" s="63"/>
      <c r="R47" s="30"/>
    </row>
    <row r="48" spans="1:18" s="43" customFormat="1" ht="15.75" hidden="1">
      <c r="A48" s="69"/>
      <c r="B48" s="52">
        <v>12</v>
      </c>
      <c r="C48" s="35" t="s">
        <v>211</v>
      </c>
      <c r="D48" s="35"/>
      <c r="E48" s="221" t="str">
        <f t="shared" si="0"/>
        <v/>
      </c>
      <c r="F48" s="35"/>
      <c r="G48" s="225"/>
      <c r="I48" s="30"/>
      <c r="J48" s="30"/>
      <c r="K48" s="63"/>
      <c r="L48" s="63"/>
      <c r="M48" s="223">
        <f t="shared" si="1"/>
        <v>308.13749999999999</v>
      </c>
      <c r="N48" s="223">
        <f t="shared" si="2"/>
        <v>154.06874999999999</v>
      </c>
      <c r="O48" s="43">
        <v>1.65</v>
      </c>
      <c r="P48" s="224">
        <f>166*0.9/1.6</f>
        <v>93.375</v>
      </c>
      <c r="Q48" s="63"/>
      <c r="R48" s="30"/>
    </row>
    <row r="49" spans="1:18" s="43" customFormat="1" ht="15.75" hidden="1">
      <c r="A49" s="69"/>
      <c r="B49" s="52">
        <v>12</v>
      </c>
      <c r="C49" s="35" t="s">
        <v>212</v>
      </c>
      <c r="D49" s="35"/>
      <c r="E49" s="221" t="str">
        <f t="shared" si="0"/>
        <v/>
      </c>
      <c r="F49" s="35"/>
      <c r="G49" s="225"/>
      <c r="I49" s="30"/>
      <c r="J49" s="30"/>
      <c r="K49" s="63"/>
      <c r="L49" s="63"/>
      <c r="M49" s="223">
        <f t="shared" si="1"/>
        <v>415.79999999999995</v>
      </c>
      <c r="N49" s="223">
        <f t="shared" si="2"/>
        <v>207.89999999999998</v>
      </c>
      <c r="O49" s="43">
        <v>1.65</v>
      </c>
      <c r="P49" s="224">
        <f>224*0.9/1.6</f>
        <v>125.99999999999999</v>
      </c>
      <c r="Q49" s="63"/>
      <c r="R49" s="30"/>
    </row>
    <row r="50" spans="1:18" s="43" customFormat="1" ht="15.75" hidden="1">
      <c r="A50" s="69"/>
      <c r="B50" s="52">
        <v>12</v>
      </c>
      <c r="C50" s="35" t="s">
        <v>213</v>
      </c>
      <c r="D50" s="35"/>
      <c r="E50" s="221" t="str">
        <f t="shared" si="0"/>
        <v/>
      </c>
      <c r="F50" s="35"/>
      <c r="G50" s="225"/>
      <c r="I50" s="30"/>
      <c r="J50" s="30"/>
      <c r="K50" s="63"/>
      <c r="L50" s="63"/>
      <c r="M50" s="223">
        <f t="shared" si="1"/>
        <v>14.85</v>
      </c>
      <c r="N50" s="223">
        <f t="shared" si="2"/>
        <v>7.4249999999999998</v>
      </c>
      <c r="O50" s="43">
        <v>1.65</v>
      </c>
      <c r="P50" s="224">
        <f>8*0.9/1.6</f>
        <v>4.5</v>
      </c>
      <c r="Q50" s="63"/>
      <c r="R50" s="30"/>
    </row>
    <row r="51" spans="1:18" s="43" customFormat="1" ht="15.75" hidden="1">
      <c r="A51" s="69"/>
      <c r="B51" s="52">
        <v>12</v>
      </c>
      <c r="C51" s="35" t="s">
        <v>214</v>
      </c>
      <c r="D51" s="35"/>
      <c r="E51" s="221" t="str">
        <f t="shared" si="0"/>
        <v/>
      </c>
      <c r="F51" s="35"/>
      <c r="G51" s="225"/>
      <c r="I51" s="30"/>
      <c r="J51" s="30"/>
      <c r="K51" s="63"/>
      <c r="L51" s="63"/>
      <c r="M51" s="223">
        <f t="shared" si="1"/>
        <v>723.9375</v>
      </c>
      <c r="N51" s="223">
        <f t="shared" si="2"/>
        <v>361.96875</v>
      </c>
      <c r="O51" s="43">
        <v>1.65</v>
      </c>
      <c r="P51" s="224">
        <f>312/0.8*0.9/1.6</f>
        <v>219.375</v>
      </c>
      <c r="Q51" s="63"/>
      <c r="R51" s="30"/>
    </row>
    <row r="52" spans="1:18" s="43" customFormat="1" ht="15.75" hidden="1">
      <c r="A52" s="69"/>
      <c r="B52" s="52">
        <v>12</v>
      </c>
      <c r="C52" s="35" t="s">
        <v>215</v>
      </c>
      <c r="D52" s="35"/>
      <c r="E52" s="221" t="str">
        <f t="shared" si="0"/>
        <v/>
      </c>
      <c r="F52" s="35"/>
      <c r="G52" s="225"/>
      <c r="I52" s="30"/>
      <c r="J52" s="30"/>
      <c r="K52" s="63"/>
      <c r="L52" s="63"/>
      <c r="M52" s="223">
        <f t="shared" si="1"/>
        <v>501.1875</v>
      </c>
      <c r="N52" s="223">
        <f t="shared" si="2"/>
        <v>250.59375</v>
      </c>
      <c r="O52" s="43">
        <v>1.65</v>
      </c>
      <c r="P52" s="224">
        <f>270*0.9/1.6</f>
        <v>151.875</v>
      </c>
      <c r="Q52" s="63"/>
      <c r="R52" s="30"/>
    </row>
    <row r="53" spans="1:18" s="43" customFormat="1" ht="15.75" hidden="1">
      <c r="A53" s="69"/>
      <c r="B53" s="52">
        <v>12</v>
      </c>
      <c r="C53" s="35" t="s">
        <v>216</v>
      </c>
      <c r="D53" s="35"/>
      <c r="E53" s="221" t="str">
        <f t="shared" si="0"/>
        <v/>
      </c>
      <c r="F53" s="35"/>
      <c r="G53" s="225"/>
      <c r="I53" s="30"/>
      <c r="J53" s="30"/>
      <c r="K53" s="63"/>
      <c r="L53" s="63"/>
      <c r="M53" s="223">
        <f t="shared" si="1"/>
        <v>2784.375</v>
      </c>
      <c r="N53" s="223">
        <f t="shared" si="2"/>
        <v>1392.1875</v>
      </c>
      <c r="O53" s="43">
        <v>1.65</v>
      </c>
      <c r="P53" s="224">
        <f>1500*0.9/1.6</f>
        <v>843.75</v>
      </c>
      <c r="Q53" s="63"/>
      <c r="R53" s="30"/>
    </row>
    <row r="54" spans="1:18" s="43" customFormat="1" ht="15.75" hidden="1">
      <c r="A54" s="69"/>
      <c r="B54" s="52">
        <v>12</v>
      </c>
      <c r="C54" s="35" t="s">
        <v>217</v>
      </c>
      <c r="D54" s="35"/>
      <c r="E54" s="221" t="str">
        <f t="shared" si="0"/>
        <v/>
      </c>
      <c r="F54" s="35"/>
      <c r="G54" s="225"/>
      <c r="I54" s="30"/>
      <c r="J54" s="30"/>
      <c r="K54" s="63"/>
      <c r="L54" s="63"/>
      <c r="M54" s="223">
        <f t="shared" si="1"/>
        <v>2784.375</v>
      </c>
      <c r="N54" s="223">
        <f t="shared" si="2"/>
        <v>1392.1875</v>
      </c>
      <c r="O54" s="43">
        <v>1.65</v>
      </c>
      <c r="P54" s="224">
        <f>1500*0.9/1.6</f>
        <v>843.75</v>
      </c>
      <c r="Q54" s="63"/>
      <c r="R54" s="30"/>
    </row>
    <row r="55" spans="1:18" s="43" customFormat="1" ht="15.75" hidden="1">
      <c r="A55" s="69"/>
      <c r="B55" s="52">
        <v>12</v>
      </c>
      <c r="C55" s="35" t="s">
        <v>218</v>
      </c>
      <c r="D55" s="35"/>
      <c r="E55" s="221" t="str">
        <f t="shared" si="0"/>
        <v/>
      </c>
      <c r="F55" s="35"/>
      <c r="G55" s="225"/>
      <c r="I55" s="30"/>
      <c r="J55" s="30"/>
      <c r="K55" s="63"/>
      <c r="L55" s="63"/>
      <c r="M55" s="223">
        <f t="shared" si="1"/>
        <v>928.125</v>
      </c>
      <c r="N55" s="223">
        <f t="shared" si="2"/>
        <v>464.0625</v>
      </c>
      <c r="O55" s="43">
        <v>1.65</v>
      </c>
      <c r="P55" s="224">
        <f>500*0.9/1.6</f>
        <v>281.25</v>
      </c>
      <c r="Q55" s="63"/>
      <c r="R55" s="30"/>
    </row>
    <row r="56" spans="1:18" s="43" customFormat="1" ht="15.75" hidden="1">
      <c r="A56" s="69"/>
      <c r="B56" s="52">
        <v>12</v>
      </c>
      <c r="C56" s="35" t="s">
        <v>219</v>
      </c>
      <c r="D56" s="35"/>
      <c r="E56" s="221" t="str">
        <f t="shared" si="0"/>
        <v/>
      </c>
      <c r="F56" s="35" t="s">
        <v>179</v>
      </c>
      <c r="G56" s="225"/>
      <c r="I56" s="30"/>
      <c r="J56" s="30"/>
      <c r="K56" s="63"/>
      <c r="L56" s="63"/>
      <c r="M56" s="223">
        <f t="shared" si="1"/>
        <v>410.23124999999999</v>
      </c>
      <c r="N56" s="223">
        <f t="shared" si="2"/>
        <v>205.11562499999999</v>
      </c>
      <c r="O56" s="43">
        <v>1.65</v>
      </c>
      <c r="P56" s="224">
        <f>221*0.9/1.6</f>
        <v>124.3125</v>
      </c>
      <c r="Q56" s="63"/>
      <c r="R56" s="30"/>
    </row>
    <row r="57" spans="1:18" s="43" customFormat="1" ht="15.75" hidden="1">
      <c r="A57" s="69"/>
      <c r="B57" s="52">
        <v>12</v>
      </c>
      <c r="C57" s="35" t="s">
        <v>220</v>
      </c>
      <c r="D57" s="35"/>
      <c r="E57" s="221" t="str">
        <f t="shared" si="0"/>
        <v/>
      </c>
      <c r="F57" s="35" t="s">
        <v>179</v>
      </c>
      <c r="G57" s="225"/>
      <c r="I57" s="30"/>
      <c r="J57" s="30"/>
      <c r="K57" s="63"/>
      <c r="L57" s="63"/>
      <c r="M57" s="223">
        <f t="shared" si="1"/>
        <v>224.60624999999999</v>
      </c>
      <c r="N57" s="223">
        <f t="shared" si="2"/>
        <v>112.30312499999999</v>
      </c>
      <c r="O57" s="43">
        <v>1.65</v>
      </c>
      <c r="P57" s="224">
        <f>121*0.9/1.6</f>
        <v>68.0625</v>
      </c>
      <c r="Q57" s="63"/>
      <c r="R57" s="30"/>
    </row>
    <row r="58" spans="1:18" s="43" customFormat="1" ht="15.75" hidden="1">
      <c r="A58" s="69"/>
      <c r="B58" s="52">
        <v>12</v>
      </c>
      <c r="C58" s="35" t="s">
        <v>221</v>
      </c>
      <c r="D58" s="35"/>
      <c r="E58" s="221" t="str">
        <f t="shared" si="0"/>
        <v/>
      </c>
      <c r="F58" s="35" t="s">
        <v>179</v>
      </c>
      <c r="G58" s="225"/>
      <c r="I58" s="30"/>
      <c r="J58" s="30"/>
      <c r="K58" s="63"/>
      <c r="L58" s="63"/>
      <c r="M58" s="223">
        <f t="shared" si="1"/>
        <v>443.64374999999995</v>
      </c>
      <c r="N58" s="223">
        <f t="shared" si="2"/>
        <v>221.82187499999998</v>
      </c>
      <c r="O58" s="43">
        <v>1.65</v>
      </c>
      <c r="P58" s="224">
        <f>239*0.9/1.6</f>
        <v>134.4375</v>
      </c>
      <c r="Q58" s="63"/>
      <c r="R58" s="30"/>
    </row>
    <row r="59" spans="1:18" s="43" customFormat="1" ht="15.75" hidden="1">
      <c r="A59" s="69"/>
      <c r="B59" s="52">
        <v>12</v>
      </c>
      <c r="C59" s="35" t="s">
        <v>222</v>
      </c>
      <c r="D59" s="35"/>
      <c r="E59" s="221" t="str">
        <f t="shared" si="0"/>
        <v/>
      </c>
      <c r="F59" s="35" t="s">
        <v>179</v>
      </c>
      <c r="G59" s="225"/>
      <c r="I59" s="30"/>
      <c r="J59" s="30"/>
      <c r="K59" s="63"/>
      <c r="L59" s="63"/>
      <c r="M59" s="223">
        <f t="shared" si="1"/>
        <v>543.88124999999991</v>
      </c>
      <c r="N59" s="223">
        <f t="shared" si="2"/>
        <v>271.94062499999995</v>
      </c>
      <c r="O59" s="43">
        <v>1.65</v>
      </c>
      <c r="P59" s="224">
        <f>293*0.9/1.6</f>
        <v>164.81249999999997</v>
      </c>
      <c r="Q59" s="63"/>
      <c r="R59" s="30"/>
    </row>
    <row r="60" spans="1:18" s="43" customFormat="1" ht="15.75" hidden="1">
      <c r="A60" s="69"/>
      <c r="B60" s="52">
        <v>12</v>
      </c>
      <c r="C60" s="35" t="s">
        <v>223</v>
      </c>
      <c r="D60" s="35"/>
      <c r="E60" s="221" t="str">
        <f t="shared" si="0"/>
        <v/>
      </c>
      <c r="F60" s="35"/>
      <c r="G60" s="225"/>
      <c r="I60" s="30"/>
      <c r="J60" s="30"/>
      <c r="K60" s="63"/>
      <c r="L60" s="63"/>
      <c r="M60" s="223">
        <f t="shared" si="1"/>
        <v>4833.0411585365855</v>
      </c>
      <c r="N60" s="223">
        <f t="shared" si="2"/>
        <v>2416.5205792682927</v>
      </c>
      <c r="O60" s="43">
        <v>1.65</v>
      </c>
      <c r="P60" s="224">
        <f>2135/0.82*0.9/1.6</f>
        <v>1464.5579268292684</v>
      </c>
      <c r="Q60" s="63"/>
      <c r="R60" s="30"/>
    </row>
    <row r="61" spans="1:18" s="43" customFormat="1" ht="15.75" hidden="1">
      <c r="A61" s="69"/>
      <c r="B61" s="52">
        <v>12</v>
      </c>
      <c r="C61" s="35" t="s">
        <v>224</v>
      </c>
      <c r="D61" s="35" t="s">
        <v>225</v>
      </c>
      <c r="E61" s="221" t="str">
        <f t="shared" si="0"/>
        <v/>
      </c>
      <c r="F61" s="35"/>
      <c r="G61" s="225"/>
      <c r="I61" s="30"/>
      <c r="J61" s="30"/>
      <c r="K61" s="63"/>
      <c r="L61" s="63"/>
      <c r="M61" s="223">
        <f t="shared" si="1"/>
        <v>556.875</v>
      </c>
      <c r="N61" s="223">
        <f t="shared" si="2"/>
        <v>278.4375</v>
      </c>
      <c r="O61" s="43">
        <v>1.65</v>
      </c>
      <c r="P61" s="224">
        <f>300*0.9/1.6</f>
        <v>168.75</v>
      </c>
      <c r="Q61" s="63"/>
      <c r="R61" s="30"/>
    </row>
    <row r="62" spans="1:18" s="43" customFormat="1" ht="15.75" hidden="1">
      <c r="A62" s="69"/>
      <c r="B62" s="52">
        <v>12</v>
      </c>
      <c r="C62" s="35" t="s">
        <v>541</v>
      </c>
      <c r="D62" s="35"/>
      <c r="E62" s="221" t="str">
        <f>IF(ISBLANK(A62),"",(A62*M62*(1-$H$3)))</f>
        <v/>
      </c>
      <c r="F62" s="35" t="s">
        <v>82</v>
      </c>
      <c r="G62" s="225"/>
      <c r="I62" s="30"/>
      <c r="J62" s="30"/>
      <c r="K62" s="63"/>
      <c r="L62" s="63"/>
      <c r="M62" s="223">
        <f>N62*2</f>
        <v>1106</v>
      </c>
      <c r="N62" s="223">
        <f>P62*O62</f>
        <v>553</v>
      </c>
      <c r="O62" s="43">
        <v>1.4</v>
      </c>
      <c r="P62" s="226">
        <v>395</v>
      </c>
      <c r="Q62" s="63"/>
      <c r="R62" s="30"/>
    </row>
    <row r="63" spans="1:18" s="43" customFormat="1" ht="15.75" hidden="1">
      <c r="A63" s="69"/>
      <c r="B63" s="52">
        <v>12</v>
      </c>
      <c r="C63" s="35" t="s">
        <v>542</v>
      </c>
      <c r="D63" s="35"/>
      <c r="E63" s="221" t="str">
        <f>IF(ISBLANK(A63),"",(A63*M63*(1-$H$3)))</f>
        <v/>
      </c>
      <c r="F63" s="35" t="s">
        <v>82</v>
      </c>
      <c r="G63" s="225"/>
      <c r="I63" s="30"/>
      <c r="J63" s="30"/>
      <c r="K63" s="63"/>
      <c r="L63" s="63"/>
      <c r="M63" s="223">
        <f>N63*2</f>
        <v>106.39999999999999</v>
      </c>
      <c r="N63" s="223">
        <f>P63*O63</f>
        <v>53.199999999999996</v>
      </c>
      <c r="O63" s="43">
        <v>1.4</v>
      </c>
      <c r="P63" s="226">
        <v>38</v>
      </c>
      <c r="Q63" s="63"/>
      <c r="R63" s="30"/>
    </row>
    <row r="64" spans="1:18" s="43" customFormat="1" ht="15.75" hidden="1">
      <c r="A64" s="69"/>
      <c r="B64" s="52">
        <v>12</v>
      </c>
      <c r="C64" s="35" t="s">
        <v>543</v>
      </c>
      <c r="D64" s="35"/>
      <c r="E64" s="221" t="str">
        <f t="shared" si="0"/>
        <v/>
      </c>
      <c r="F64" s="35" t="s">
        <v>544</v>
      </c>
      <c r="G64" s="225"/>
      <c r="I64" s="30"/>
      <c r="J64" s="30"/>
      <c r="K64" s="63"/>
      <c r="L64" s="63"/>
      <c r="M64" s="223">
        <f t="shared" si="1"/>
        <v>2310</v>
      </c>
      <c r="N64" s="223">
        <f t="shared" si="2"/>
        <v>1155</v>
      </c>
      <c r="O64" s="43">
        <v>1.4</v>
      </c>
      <c r="P64" s="226">
        <v>825</v>
      </c>
      <c r="Q64" s="63"/>
      <c r="R64" s="30"/>
    </row>
    <row r="65" spans="1:18" s="43" customFormat="1" ht="15.75" hidden="1">
      <c r="A65" s="69"/>
      <c r="B65" s="52">
        <v>12</v>
      </c>
      <c r="C65" s="35" t="s">
        <v>545</v>
      </c>
      <c r="D65" s="35"/>
      <c r="E65" s="221" t="str">
        <f t="shared" si="0"/>
        <v/>
      </c>
      <c r="F65" s="35" t="s">
        <v>544</v>
      </c>
      <c r="G65" s="225"/>
      <c r="I65" s="30"/>
      <c r="J65" s="30"/>
      <c r="K65" s="63"/>
      <c r="L65" s="63"/>
      <c r="M65" s="223">
        <f t="shared" si="1"/>
        <v>217</v>
      </c>
      <c r="N65" s="223">
        <f t="shared" si="2"/>
        <v>108.5</v>
      </c>
      <c r="O65" s="43">
        <v>1.4</v>
      </c>
      <c r="P65" s="226">
        <v>77.5</v>
      </c>
      <c r="Q65" s="63"/>
      <c r="R65" s="30"/>
    </row>
    <row r="66" spans="1:18" s="43" customFormat="1" ht="15.75" hidden="1">
      <c r="A66" s="69"/>
      <c r="B66" s="52">
        <v>12</v>
      </c>
      <c r="C66" s="35" t="s">
        <v>546</v>
      </c>
      <c r="D66" s="35"/>
      <c r="E66" s="221" t="str">
        <f t="shared" si="0"/>
        <v/>
      </c>
      <c r="F66" s="35"/>
      <c r="G66" s="225"/>
      <c r="I66" s="30"/>
      <c r="J66" s="30"/>
      <c r="K66" s="63"/>
      <c r="L66" s="63"/>
      <c r="M66" s="223">
        <f t="shared" si="1"/>
        <v>773.4375</v>
      </c>
      <c r="N66" s="223">
        <f t="shared" si="2"/>
        <v>386.71875</v>
      </c>
      <c r="O66" s="43">
        <v>1.65</v>
      </c>
      <c r="P66" s="224">
        <f>375/0.9*0.9/1.6</f>
        <v>234.375</v>
      </c>
      <c r="Q66" s="63"/>
      <c r="R66" s="30"/>
    </row>
    <row r="67" spans="1:18" s="43" customFormat="1" ht="15.75" hidden="1">
      <c r="A67" s="69"/>
      <c r="B67" s="52">
        <v>12</v>
      </c>
      <c r="C67" s="35" t="s">
        <v>226</v>
      </c>
      <c r="D67" s="35"/>
      <c r="E67" s="221" t="str">
        <f t="shared" si="0"/>
        <v/>
      </c>
      <c r="F67" s="35"/>
      <c r="G67" s="225"/>
      <c r="I67" s="30"/>
      <c r="J67" s="30"/>
      <c r="K67" s="63"/>
      <c r="L67" s="63"/>
      <c r="M67" s="223">
        <f t="shared" si="1"/>
        <v>0</v>
      </c>
      <c r="N67" s="223">
        <f t="shared" si="2"/>
        <v>0</v>
      </c>
      <c r="O67" s="43">
        <v>1.65</v>
      </c>
      <c r="P67" s="224"/>
      <c r="Q67" s="63"/>
      <c r="R67" s="30"/>
    </row>
    <row r="68" spans="1:18" s="43" customFormat="1" ht="15.75" hidden="1">
      <c r="A68" s="69"/>
      <c r="B68" s="52">
        <v>12</v>
      </c>
      <c r="C68" s="35" t="s">
        <v>226</v>
      </c>
      <c r="D68" s="35"/>
      <c r="E68" s="221" t="str">
        <f t="shared" si="0"/>
        <v/>
      </c>
      <c r="F68" s="35"/>
      <c r="G68" s="225"/>
      <c r="I68" s="30"/>
      <c r="J68" s="30"/>
      <c r="K68" s="63"/>
      <c r="L68" s="63"/>
      <c r="M68" s="223">
        <f t="shared" si="1"/>
        <v>0</v>
      </c>
      <c r="N68" s="223">
        <f t="shared" si="2"/>
        <v>0</v>
      </c>
      <c r="O68" s="43">
        <v>1.65</v>
      </c>
      <c r="P68" s="224"/>
      <c r="Q68" s="63"/>
      <c r="R68" s="30"/>
    </row>
    <row r="69" spans="1:18" s="43" customFormat="1" ht="15.75" hidden="1">
      <c r="A69" s="69"/>
      <c r="B69" s="52">
        <v>12</v>
      </c>
      <c r="C69" s="35" t="s">
        <v>226</v>
      </c>
      <c r="D69" s="35"/>
      <c r="E69" s="221" t="str">
        <f t="shared" si="0"/>
        <v/>
      </c>
      <c r="F69" s="35"/>
      <c r="G69" s="225"/>
      <c r="I69" s="30"/>
      <c r="J69" s="30"/>
      <c r="K69" s="63"/>
      <c r="L69" s="63"/>
      <c r="M69" s="223">
        <f t="shared" si="1"/>
        <v>0</v>
      </c>
      <c r="N69" s="223">
        <f t="shared" si="2"/>
        <v>0</v>
      </c>
      <c r="O69" s="43">
        <v>1.65</v>
      </c>
      <c r="P69" s="224"/>
      <c r="Q69" s="63"/>
      <c r="R69" s="30"/>
    </row>
    <row r="70" spans="1:18" s="43" customFormat="1" ht="16.5" hidden="1" thickBot="1">
      <c r="A70" s="64" t="str">
        <f>IF(AM2=0,"","-")</f>
        <v/>
      </c>
      <c r="B70" s="65" t="s">
        <v>149</v>
      </c>
      <c r="C70" s="218" t="s">
        <v>268</v>
      </c>
      <c r="D70" s="66"/>
      <c r="E70" s="67"/>
      <c r="F70" s="68">
        <f>SUM(E71:E150)</f>
        <v>0</v>
      </c>
      <c r="G70" s="222"/>
      <c r="H70" s="139"/>
      <c r="J70" s="30"/>
      <c r="K70" s="63"/>
      <c r="L70" s="63"/>
      <c r="Q70" s="63"/>
      <c r="R70" s="30"/>
    </row>
    <row r="71" spans="1:18" s="43" customFormat="1" ht="15.75" hidden="1">
      <c r="A71" s="69"/>
      <c r="B71" s="52">
        <v>7</v>
      </c>
      <c r="C71" s="227">
        <f>C8</f>
        <v>0</v>
      </c>
      <c r="D71" s="35"/>
      <c r="E71" s="228" t="str">
        <f>IF(ISBLANK(A71),"",(SUM(G71:G137)))</f>
        <v/>
      </c>
      <c r="F71" s="35" t="s">
        <v>228</v>
      </c>
      <c r="G71" s="229" t="str">
        <f>IF(ISBLANK(A71),"",(A71*M71*(1-$H$3)))</f>
        <v/>
      </c>
      <c r="J71" s="30"/>
      <c r="K71" s="63"/>
      <c r="L71" s="63"/>
      <c r="M71" s="223">
        <f t="shared" si="1"/>
        <v>4340.5564024390233</v>
      </c>
      <c r="N71" s="223">
        <f>P71*O71</f>
        <v>2170.2782012195116</v>
      </c>
      <c r="O71" s="43">
        <v>1.65</v>
      </c>
      <c r="P71" s="224">
        <f>(1307/0.82+400/0.9+300)*0.9/1.6</f>
        <v>1315.3201219512193</v>
      </c>
      <c r="Q71" s="63"/>
      <c r="R71" s="30"/>
    </row>
    <row r="72" spans="1:18" s="43" customFormat="1" ht="31.5" hidden="1">
      <c r="A72" s="230" t="str">
        <f>IF(ISBLANK(A71),"","-")</f>
        <v/>
      </c>
      <c r="B72" s="52">
        <v>7</v>
      </c>
      <c r="C72" s="194" t="s">
        <v>547</v>
      </c>
      <c r="D72" s="76"/>
      <c r="E72" s="228"/>
      <c r="F72" s="35"/>
      <c r="G72" s="229"/>
      <c r="J72" s="30"/>
      <c r="K72" s="63"/>
      <c r="L72" s="63"/>
      <c r="M72" s="223">
        <f t="shared" si="1"/>
        <v>0</v>
      </c>
      <c r="N72" s="223">
        <f t="shared" ref="N72:N135" si="3">P72*O72</f>
        <v>0</v>
      </c>
      <c r="O72" s="43">
        <v>1.65</v>
      </c>
      <c r="P72" s="224"/>
      <c r="Q72" s="63"/>
      <c r="R72" s="30"/>
    </row>
    <row r="73" spans="1:18" s="43" customFormat="1" ht="15.75" hidden="1">
      <c r="A73" s="69"/>
      <c r="B73" s="52">
        <v>7</v>
      </c>
      <c r="C73" s="231" t="s">
        <v>548</v>
      </c>
      <c r="D73" s="74" t="s">
        <v>270</v>
      </c>
      <c r="E73" s="77"/>
      <c r="F73" s="35" t="s">
        <v>228</v>
      </c>
      <c r="G73" s="229" t="str">
        <f>IF(ISBLANK(A73),"",(A73*M73*(1-$H$3)))</f>
        <v/>
      </c>
      <c r="J73" s="30"/>
      <c r="K73" s="63"/>
      <c r="L73" s="63"/>
      <c r="M73" s="223">
        <f t="shared" si="1"/>
        <v>475.3810975609756</v>
      </c>
      <c r="N73" s="223">
        <f t="shared" si="3"/>
        <v>237.6905487804878</v>
      </c>
      <c r="O73" s="43">
        <v>1.65</v>
      </c>
      <c r="P73" s="224">
        <f>210/0.82*0.9/1.6</f>
        <v>144.05487804878049</v>
      </c>
      <c r="Q73" s="63"/>
      <c r="R73" s="30"/>
    </row>
    <row r="74" spans="1:18" s="43" customFormat="1" ht="15.75" hidden="1">
      <c r="A74" s="69"/>
      <c r="B74" s="52">
        <v>7</v>
      </c>
      <c r="C74" s="231" t="s">
        <v>549</v>
      </c>
      <c r="D74" s="74" t="s">
        <v>270</v>
      </c>
      <c r="E74" s="77"/>
      <c r="F74" s="35" t="s">
        <v>228</v>
      </c>
      <c r="G74" s="229" t="str">
        <f t="shared" ref="G74:G150" si="4">IF(ISBLANK(A74),"",(A74*M74*(1-$H$3)))</f>
        <v/>
      </c>
      <c r="J74" s="30"/>
      <c r="K74" s="63"/>
      <c r="L74" s="63"/>
      <c r="M74" s="223">
        <f t="shared" si="1"/>
        <v>67.911585365853654</v>
      </c>
      <c r="N74" s="223">
        <f t="shared" si="3"/>
        <v>33.955792682926827</v>
      </c>
      <c r="O74" s="43">
        <v>1.65</v>
      </c>
      <c r="P74" s="224">
        <f>30/0.82*0.9/1.6</f>
        <v>20.579268292682926</v>
      </c>
      <c r="Q74" s="63"/>
      <c r="R74" s="30"/>
    </row>
    <row r="75" spans="1:18" s="43" customFormat="1" ht="15.75" hidden="1">
      <c r="A75" s="69"/>
      <c r="B75" s="52">
        <v>7</v>
      </c>
      <c r="C75" s="231" t="s">
        <v>550</v>
      </c>
      <c r="D75" s="74" t="s">
        <v>270</v>
      </c>
      <c r="E75" s="77"/>
      <c r="F75" s="35" t="s">
        <v>228</v>
      </c>
      <c r="G75" s="229" t="str">
        <f t="shared" si="4"/>
        <v/>
      </c>
      <c r="J75" s="30"/>
      <c r="K75" s="63"/>
      <c r="L75" s="63"/>
      <c r="M75" s="223">
        <f t="shared" si="1"/>
        <v>-475.2</v>
      </c>
      <c r="N75" s="223">
        <f t="shared" si="3"/>
        <v>-237.6</v>
      </c>
      <c r="O75" s="43">
        <v>1.65</v>
      </c>
      <c r="P75" s="232">
        <f>(256*($C$12-2))/$C$12*0.9/1.6</f>
        <v>-144</v>
      </c>
      <c r="Q75" s="63"/>
      <c r="R75" s="30"/>
    </row>
    <row r="76" spans="1:18" s="43" customFormat="1" ht="15.75" hidden="1">
      <c r="A76" s="69"/>
      <c r="B76" s="52">
        <v>7</v>
      </c>
      <c r="C76" s="231" t="s">
        <v>551</v>
      </c>
      <c r="D76" s="74" t="s">
        <v>270</v>
      </c>
      <c r="E76" s="77"/>
      <c r="F76" s="35" t="s">
        <v>228</v>
      </c>
      <c r="G76" s="229" t="str">
        <f t="shared" si="4"/>
        <v/>
      </c>
      <c r="J76" s="30"/>
      <c r="K76" s="63"/>
      <c r="L76" s="63"/>
      <c r="M76" s="223">
        <f t="shared" si="1"/>
        <v>260.32774390243901</v>
      </c>
      <c r="N76" s="223">
        <f t="shared" si="3"/>
        <v>130.16387195121951</v>
      </c>
      <c r="O76" s="43">
        <v>1.65</v>
      </c>
      <c r="P76" s="224">
        <f>115/0.82*0.9/1.6</f>
        <v>78.887195121951223</v>
      </c>
      <c r="Q76" s="63"/>
      <c r="R76" s="30"/>
    </row>
    <row r="77" spans="1:18" s="43" customFormat="1" ht="15.75" hidden="1">
      <c r="A77" s="69"/>
      <c r="B77" s="52">
        <v>7</v>
      </c>
      <c r="C77" s="231" t="s">
        <v>552</v>
      </c>
      <c r="D77" s="74" t="s">
        <v>270</v>
      </c>
      <c r="E77" s="77"/>
      <c r="F77" s="35" t="s">
        <v>228</v>
      </c>
      <c r="G77" s="229" t="str">
        <f t="shared" si="4"/>
        <v/>
      </c>
      <c r="J77" s="30"/>
      <c r="K77" s="63"/>
      <c r="L77" s="63"/>
      <c r="M77" s="223">
        <f t="shared" si="1"/>
        <v>-638.3689024390244</v>
      </c>
      <c r="N77" s="223">
        <f t="shared" si="3"/>
        <v>-319.1844512195122</v>
      </c>
      <c r="O77" s="43">
        <v>1.65</v>
      </c>
      <c r="P77" s="224">
        <f>((94/0.82)*($E$5-3))*0.9/1.6</f>
        <v>-193.44512195121953</v>
      </c>
      <c r="Q77" s="63"/>
      <c r="R77" s="30"/>
    </row>
    <row r="78" spans="1:18" s="43" customFormat="1" ht="15.75" hidden="1">
      <c r="A78" s="69"/>
      <c r="B78" s="52">
        <v>7</v>
      </c>
      <c r="C78" s="231" t="s">
        <v>553</v>
      </c>
      <c r="D78" s="74" t="s">
        <v>270</v>
      </c>
      <c r="E78" s="77"/>
      <c r="F78" s="35" t="s">
        <v>228</v>
      </c>
      <c r="G78" s="229" t="str">
        <f t="shared" si="4"/>
        <v/>
      </c>
      <c r="J78" s="30"/>
      <c r="K78" s="63"/>
      <c r="L78" s="63"/>
      <c r="M78" s="223">
        <f t="shared" si="1"/>
        <v>7218.75</v>
      </c>
      <c r="N78" s="223">
        <f t="shared" si="3"/>
        <v>3609.375</v>
      </c>
      <c r="O78" s="43">
        <v>1.65</v>
      </c>
      <c r="P78" s="224">
        <f>3500/0.9*0.9/1.6</f>
        <v>2187.5</v>
      </c>
      <c r="Q78" s="63"/>
      <c r="R78" s="30"/>
    </row>
    <row r="79" spans="1:18" s="43" customFormat="1" ht="15.75" hidden="1">
      <c r="A79" s="69"/>
      <c r="B79" s="52">
        <v>7</v>
      </c>
      <c r="C79" s="231" t="s">
        <v>554</v>
      </c>
      <c r="D79" s="74" t="s">
        <v>270</v>
      </c>
      <c r="E79" s="77"/>
      <c r="F79" s="35" t="s">
        <v>228</v>
      </c>
      <c r="G79" s="229" t="str">
        <f t="shared" si="4"/>
        <v/>
      </c>
      <c r="J79" s="30"/>
      <c r="K79" s="63"/>
      <c r="L79" s="63"/>
      <c r="M79" s="223">
        <f t="shared" si="1"/>
        <v>316.92073170731709</v>
      </c>
      <c r="N79" s="223">
        <f t="shared" si="3"/>
        <v>158.46036585365854</v>
      </c>
      <c r="O79" s="43">
        <v>1.65</v>
      </c>
      <c r="P79" s="224">
        <f>140/0.82*0.9/1.6</f>
        <v>96.036585365853668</v>
      </c>
      <c r="Q79" s="63"/>
      <c r="R79" s="30"/>
    </row>
    <row r="80" spans="1:18" s="43" customFormat="1" ht="15.75" hidden="1">
      <c r="A80" s="69"/>
      <c r="B80" s="52">
        <v>7</v>
      </c>
      <c r="C80" s="231" t="s">
        <v>555</v>
      </c>
      <c r="D80" s="74" t="s">
        <v>270</v>
      </c>
      <c r="E80" s="77"/>
      <c r="F80" s="35" t="s">
        <v>228</v>
      </c>
      <c r="G80" s="229" t="str">
        <f t="shared" si="4"/>
        <v/>
      </c>
      <c r="J80" s="30"/>
      <c r="K80" s="63"/>
      <c r="L80" s="63"/>
      <c r="M80" s="223">
        <f t="shared" si="1"/>
        <v>848.89481707317066</v>
      </c>
      <c r="N80" s="223">
        <f t="shared" si="3"/>
        <v>424.44740853658533</v>
      </c>
      <c r="O80" s="43">
        <v>1.65</v>
      </c>
      <c r="P80" s="224">
        <f>375/0.82*0.9/1.6</f>
        <v>257.24085365853659</v>
      </c>
      <c r="Q80" s="63"/>
      <c r="R80" s="30"/>
    </row>
    <row r="81" spans="1:18" s="43" customFormat="1" ht="15.75" hidden="1">
      <c r="A81" s="69"/>
      <c r="B81" s="52">
        <v>7</v>
      </c>
      <c r="C81" s="231" t="s">
        <v>556</v>
      </c>
      <c r="D81" s="74" t="s">
        <v>270</v>
      </c>
      <c r="E81" s="77"/>
      <c r="F81" s="35" t="s">
        <v>228</v>
      </c>
      <c r="G81" s="229" t="str">
        <f t="shared" si="4"/>
        <v/>
      </c>
      <c r="J81" s="30"/>
      <c r="K81" s="63"/>
      <c r="L81" s="63"/>
      <c r="M81" s="223">
        <f t="shared" si="1"/>
        <v>68.681249999999991</v>
      </c>
      <c r="N81" s="223">
        <f t="shared" si="3"/>
        <v>34.340624999999996</v>
      </c>
      <c r="O81" s="43">
        <v>1.65</v>
      </c>
      <c r="P81" s="224">
        <f>37*0.9/1.6</f>
        <v>20.8125</v>
      </c>
      <c r="Q81" s="63"/>
      <c r="R81" s="30"/>
    </row>
    <row r="82" spans="1:18" s="43" customFormat="1" ht="15.75" hidden="1">
      <c r="A82" s="69"/>
      <c r="B82" s="52">
        <v>7</v>
      </c>
      <c r="C82" s="231" t="s">
        <v>557</v>
      </c>
      <c r="D82" s="74" t="s">
        <v>270</v>
      </c>
      <c r="E82" s="77"/>
      <c r="F82" s="35" t="s">
        <v>228</v>
      </c>
      <c r="G82" s="229" t="str">
        <f t="shared" si="4"/>
        <v/>
      </c>
      <c r="J82" s="30"/>
      <c r="K82" s="63"/>
      <c r="L82" s="63"/>
      <c r="M82" s="223">
        <f t="shared" si="1"/>
        <v>323.7645348837209</v>
      </c>
      <c r="N82" s="223">
        <f t="shared" si="3"/>
        <v>161.88226744186045</v>
      </c>
      <c r="O82" s="43">
        <v>1.65</v>
      </c>
      <c r="P82" s="224">
        <f>150/0.86*0.9/1.6</f>
        <v>98.110465116279073</v>
      </c>
      <c r="Q82" s="63"/>
      <c r="R82" s="30"/>
    </row>
    <row r="83" spans="1:18" s="43" customFormat="1" ht="15.75" hidden="1">
      <c r="A83" s="69"/>
      <c r="B83" s="52">
        <v>7</v>
      </c>
      <c r="C83" s="231" t="s">
        <v>558</v>
      </c>
      <c r="D83" s="74" t="s">
        <v>270</v>
      </c>
      <c r="E83" s="77"/>
      <c r="F83" s="35" t="s">
        <v>228</v>
      </c>
      <c r="G83" s="229" t="str">
        <f t="shared" si="4"/>
        <v/>
      </c>
      <c r="J83" s="30"/>
      <c r="K83" s="63"/>
      <c r="L83" s="63"/>
      <c r="M83" s="223">
        <f t="shared" si="1"/>
        <v>1124.8874999999998</v>
      </c>
      <c r="N83" s="223">
        <f t="shared" si="3"/>
        <v>562.44374999999991</v>
      </c>
      <c r="O83" s="43">
        <v>1.65</v>
      </c>
      <c r="P83" s="224">
        <f>606*0.9/1.6</f>
        <v>340.87499999999994</v>
      </c>
      <c r="Q83" s="63"/>
      <c r="R83" s="30"/>
    </row>
    <row r="84" spans="1:18" s="43" customFormat="1" ht="15.75" hidden="1">
      <c r="A84" s="69"/>
      <c r="B84" s="52">
        <v>7</v>
      </c>
      <c r="C84" s="231" t="s">
        <v>559</v>
      </c>
      <c r="D84" s="74" t="s">
        <v>270</v>
      </c>
      <c r="E84" s="77"/>
      <c r="F84" s="35" t="s">
        <v>228</v>
      </c>
      <c r="G84" s="229" t="str">
        <f t="shared" si="4"/>
        <v/>
      </c>
      <c r="J84" s="30"/>
      <c r="K84" s="63"/>
      <c r="L84" s="63"/>
      <c r="M84" s="223">
        <f t="shared" ref="M84:M147" si="5">N84*2</f>
        <v>1697.7896341463413</v>
      </c>
      <c r="N84" s="223">
        <f t="shared" si="3"/>
        <v>848.89481707317066</v>
      </c>
      <c r="O84" s="43">
        <v>1.65</v>
      </c>
      <c r="P84" s="224">
        <f>750/0.82*0.9/1.6</f>
        <v>514.48170731707319</v>
      </c>
      <c r="Q84" s="63"/>
      <c r="R84" s="30"/>
    </row>
    <row r="85" spans="1:18" s="43" customFormat="1" ht="15.75" hidden="1">
      <c r="A85" s="69"/>
      <c r="B85" s="52">
        <v>7</v>
      </c>
      <c r="C85" s="231" t="s">
        <v>560</v>
      </c>
      <c r="D85" s="74" t="s">
        <v>270</v>
      </c>
      <c r="E85" s="77"/>
      <c r="F85" s="35" t="s">
        <v>228</v>
      </c>
      <c r="G85" s="229" t="str">
        <f t="shared" si="4"/>
        <v/>
      </c>
      <c r="J85" s="30"/>
      <c r="K85" s="63"/>
      <c r="L85" s="63"/>
      <c r="M85" s="223">
        <f t="shared" si="5"/>
        <v>67.911585365853654</v>
      </c>
      <c r="N85" s="223">
        <f t="shared" si="3"/>
        <v>33.955792682926827</v>
      </c>
      <c r="O85" s="43">
        <v>1.65</v>
      </c>
      <c r="P85" s="224">
        <f>30/0.82*0.9/1.6</f>
        <v>20.579268292682926</v>
      </c>
      <c r="Q85" s="63"/>
      <c r="R85" s="30"/>
    </row>
    <row r="86" spans="1:18" s="43" customFormat="1" ht="15.75" hidden="1">
      <c r="A86" s="69"/>
      <c r="B86" s="52">
        <v>7</v>
      </c>
      <c r="C86" s="231" t="s">
        <v>561</v>
      </c>
      <c r="D86" s="74" t="s">
        <v>270</v>
      </c>
      <c r="E86" s="77"/>
      <c r="F86" s="35" t="s">
        <v>228</v>
      </c>
      <c r="G86" s="229" t="str">
        <f t="shared" si="4"/>
        <v/>
      </c>
      <c r="J86" s="30"/>
      <c r="K86" s="63"/>
      <c r="L86" s="63"/>
      <c r="M86" s="223">
        <f t="shared" si="5"/>
        <v>67.911585365853654</v>
      </c>
      <c r="N86" s="223">
        <f t="shared" si="3"/>
        <v>33.955792682926827</v>
      </c>
      <c r="O86" s="43">
        <v>1.65</v>
      </c>
      <c r="P86" s="224">
        <f>30/0.82*0.9/1.6</f>
        <v>20.579268292682926</v>
      </c>
      <c r="Q86" s="63"/>
      <c r="R86" s="30"/>
    </row>
    <row r="87" spans="1:18" s="43" customFormat="1" ht="15.75" hidden="1">
      <c r="A87" s="69"/>
      <c r="B87" s="52">
        <v>7</v>
      </c>
      <c r="C87" s="231" t="s">
        <v>562</v>
      </c>
      <c r="D87" s="74" t="s">
        <v>270</v>
      </c>
      <c r="E87" s="77"/>
      <c r="F87" s="35" t="s">
        <v>228</v>
      </c>
      <c r="G87" s="229" t="str">
        <f t="shared" si="4"/>
        <v/>
      </c>
      <c r="J87" s="30"/>
      <c r="K87" s="63"/>
      <c r="L87" s="63"/>
      <c r="M87" s="223">
        <f t="shared" si="5"/>
        <v>135.82317073170731</v>
      </c>
      <c r="N87" s="223">
        <f t="shared" si="3"/>
        <v>67.911585365853654</v>
      </c>
      <c r="O87" s="43">
        <v>1.65</v>
      </c>
      <c r="P87" s="224">
        <f>60/0.82*0.9/1.6</f>
        <v>41.158536585365852</v>
      </c>
      <c r="Q87" s="63"/>
      <c r="R87" s="30"/>
    </row>
    <row r="88" spans="1:18" s="43" customFormat="1" ht="15.75" hidden="1">
      <c r="A88" s="69"/>
      <c r="B88" s="52">
        <v>7</v>
      </c>
      <c r="C88" s="231" t="s">
        <v>563</v>
      </c>
      <c r="D88" s="74" t="s">
        <v>270</v>
      </c>
      <c r="E88" s="77"/>
      <c r="F88" s="35" t="s">
        <v>228</v>
      </c>
      <c r="G88" s="229" t="str">
        <f t="shared" si="4"/>
        <v/>
      </c>
      <c r="J88" s="30"/>
      <c r="K88" s="63"/>
      <c r="L88" s="63"/>
      <c r="M88" s="223">
        <f t="shared" si="5"/>
        <v>68.681249999999991</v>
      </c>
      <c r="N88" s="223">
        <f t="shared" si="3"/>
        <v>34.340624999999996</v>
      </c>
      <c r="O88" s="43">
        <v>1.65</v>
      </c>
      <c r="P88" s="224">
        <f>37*0.9/1.6</f>
        <v>20.8125</v>
      </c>
      <c r="Q88" s="63"/>
      <c r="R88" s="30"/>
    </row>
    <row r="89" spans="1:18" s="43" customFormat="1" ht="15.75" hidden="1">
      <c r="A89" s="69"/>
      <c r="B89" s="52">
        <v>7</v>
      </c>
      <c r="C89" s="231" t="s">
        <v>564</v>
      </c>
      <c r="D89" s="74" t="s">
        <v>270</v>
      </c>
      <c r="E89" s="77"/>
      <c r="F89" s="35" t="s">
        <v>228</v>
      </c>
      <c r="G89" s="229" t="str">
        <f t="shared" si="4"/>
        <v/>
      </c>
      <c r="J89" s="30"/>
      <c r="K89" s="63"/>
      <c r="L89" s="63"/>
      <c r="M89" s="223">
        <f t="shared" si="5"/>
        <v>919.875</v>
      </c>
      <c r="N89" s="223">
        <f t="shared" si="3"/>
        <v>459.9375</v>
      </c>
      <c r="O89" s="43">
        <v>1.65</v>
      </c>
      <c r="P89" s="224">
        <f>446/0.9*0.9/1.6</f>
        <v>278.75</v>
      </c>
      <c r="Q89" s="63"/>
      <c r="R89" s="30"/>
    </row>
    <row r="90" spans="1:18" s="43" customFormat="1" ht="15.75" hidden="1">
      <c r="A90" s="69"/>
      <c r="B90" s="52">
        <v>7</v>
      </c>
      <c r="C90" s="231" t="s">
        <v>565</v>
      </c>
      <c r="D90" s="74" t="s">
        <v>270</v>
      </c>
      <c r="E90" s="77"/>
      <c r="F90" s="35" t="s">
        <v>228</v>
      </c>
      <c r="G90" s="229" t="str">
        <f t="shared" si="4"/>
        <v/>
      </c>
      <c r="J90" s="30"/>
      <c r="K90" s="63"/>
      <c r="L90" s="63"/>
      <c r="M90" s="223">
        <f t="shared" si="5"/>
        <v>396.15091463414632</v>
      </c>
      <c r="N90" s="223">
        <f t="shared" si="3"/>
        <v>198.07545731707316</v>
      </c>
      <c r="O90" s="43">
        <v>1.65</v>
      </c>
      <c r="P90" s="224">
        <f>175/0.82*0.9/1.6</f>
        <v>120.04573170731707</v>
      </c>
      <c r="Q90" s="63"/>
      <c r="R90" s="30"/>
    </row>
    <row r="91" spans="1:18" s="43" customFormat="1" ht="15.75" hidden="1">
      <c r="A91" s="69"/>
      <c r="B91" s="52">
        <v>7</v>
      </c>
      <c r="C91" s="231" t="s">
        <v>566</v>
      </c>
      <c r="D91" s="74" t="s">
        <v>270</v>
      </c>
      <c r="E91" s="77"/>
      <c r="F91" s="35" t="s">
        <v>228</v>
      </c>
      <c r="G91" s="229" t="str">
        <f t="shared" si="4"/>
        <v/>
      </c>
      <c r="J91" s="30"/>
      <c r="K91" s="63"/>
      <c r="L91" s="63"/>
      <c r="M91" s="223">
        <f t="shared" si="5"/>
        <v>656.47865853658539</v>
      </c>
      <c r="N91" s="223">
        <f t="shared" si="3"/>
        <v>328.23932926829269</v>
      </c>
      <c r="O91" s="43">
        <v>1.65</v>
      </c>
      <c r="P91" s="224">
        <f>290/0.82*0.9/1.6</f>
        <v>198.9329268292683</v>
      </c>
      <c r="Q91" s="63"/>
      <c r="R91" s="30"/>
    </row>
    <row r="92" spans="1:18" s="43" customFormat="1" ht="15.75" hidden="1">
      <c r="A92" s="69"/>
      <c r="B92" s="52">
        <v>7</v>
      </c>
      <c r="C92" s="231" t="s">
        <v>567</v>
      </c>
      <c r="D92" s="74" t="s">
        <v>270</v>
      </c>
      <c r="E92" s="77"/>
      <c r="F92" s="35" t="s">
        <v>228</v>
      </c>
      <c r="G92" s="229" t="str">
        <f t="shared" si="4"/>
        <v/>
      </c>
      <c r="J92" s="30"/>
      <c r="K92" s="63"/>
      <c r="L92" s="63"/>
      <c r="M92" s="223">
        <f t="shared" si="5"/>
        <v>68.681249999999991</v>
      </c>
      <c r="N92" s="223">
        <f t="shared" si="3"/>
        <v>34.340624999999996</v>
      </c>
      <c r="O92" s="43">
        <v>1.65</v>
      </c>
      <c r="P92" s="224">
        <f>37*0.9/1.6</f>
        <v>20.8125</v>
      </c>
      <c r="Q92" s="63"/>
      <c r="R92" s="30"/>
    </row>
    <row r="93" spans="1:18" s="43" customFormat="1" ht="15.75" hidden="1">
      <c r="A93" s="69"/>
      <c r="B93" s="52">
        <v>7</v>
      </c>
      <c r="C93" s="231" t="s">
        <v>568</v>
      </c>
      <c r="D93" s="74" t="s">
        <v>270</v>
      </c>
      <c r="E93" s="77"/>
      <c r="F93" s="35" t="s">
        <v>228</v>
      </c>
      <c r="G93" s="229" t="str">
        <f t="shared" si="4"/>
        <v/>
      </c>
      <c r="J93" s="30"/>
      <c r="K93" s="63"/>
      <c r="L93" s="63"/>
      <c r="M93" s="223">
        <f t="shared" si="5"/>
        <v>68.681249999999991</v>
      </c>
      <c r="N93" s="223">
        <f t="shared" si="3"/>
        <v>34.340624999999996</v>
      </c>
      <c r="O93" s="43">
        <v>1.65</v>
      </c>
      <c r="P93" s="224">
        <f>37*0.9/1.6</f>
        <v>20.8125</v>
      </c>
      <c r="Q93" s="63"/>
      <c r="R93" s="30"/>
    </row>
    <row r="94" spans="1:18" s="43" customFormat="1" ht="15.75" hidden="1">
      <c r="A94" s="69"/>
      <c r="B94" s="52">
        <v>7</v>
      </c>
      <c r="C94" s="231" t="s">
        <v>569</v>
      </c>
      <c r="D94" s="74" t="s">
        <v>270</v>
      </c>
      <c r="E94" s="77"/>
      <c r="F94" s="35" t="s">
        <v>228</v>
      </c>
      <c r="G94" s="229" t="str">
        <f t="shared" si="4"/>
        <v/>
      </c>
      <c r="J94" s="30"/>
      <c r="K94" s="63"/>
      <c r="L94" s="63"/>
      <c r="M94" s="223">
        <f t="shared" si="5"/>
        <v>430.10670731707319</v>
      </c>
      <c r="N94" s="223">
        <f t="shared" si="3"/>
        <v>215.05335365853659</v>
      </c>
      <c r="O94" s="43">
        <v>1.65</v>
      </c>
      <c r="P94" s="224">
        <f>190/0.82*0.9/1.6</f>
        <v>130.33536585365854</v>
      </c>
      <c r="Q94" s="63"/>
      <c r="R94" s="30"/>
    </row>
    <row r="95" spans="1:18" s="43" customFormat="1" ht="15.75" hidden="1">
      <c r="A95" s="69"/>
      <c r="B95" s="52">
        <v>7</v>
      </c>
      <c r="C95" s="231" t="s">
        <v>570</v>
      </c>
      <c r="D95" s="74" t="s">
        <v>270</v>
      </c>
      <c r="E95" s="77"/>
      <c r="F95" s="35" t="s">
        <v>228</v>
      </c>
      <c r="G95" s="229" t="str">
        <f t="shared" si="4"/>
        <v/>
      </c>
      <c r="J95" s="30"/>
      <c r="K95" s="63"/>
      <c r="L95" s="63"/>
      <c r="M95" s="223">
        <f t="shared" si="5"/>
        <v>139.21875</v>
      </c>
      <c r="N95" s="223">
        <f t="shared" si="3"/>
        <v>69.609375</v>
      </c>
      <c r="O95" s="43">
        <v>1.65</v>
      </c>
      <c r="P95" s="224">
        <f>75*0.9/1.6</f>
        <v>42.1875</v>
      </c>
      <c r="Q95" s="63"/>
      <c r="R95" s="30"/>
    </row>
    <row r="96" spans="1:18" s="43" customFormat="1" ht="15.75" hidden="1">
      <c r="A96" s="69"/>
      <c r="B96" s="52">
        <v>7</v>
      </c>
      <c r="C96" s="231" t="s">
        <v>571</v>
      </c>
      <c r="D96" s="74" t="s">
        <v>270</v>
      </c>
      <c r="E96" s="78"/>
      <c r="F96" s="35" t="s">
        <v>228</v>
      </c>
      <c r="G96" s="229" t="str">
        <f t="shared" si="4"/>
        <v/>
      </c>
      <c r="J96" s="30"/>
      <c r="K96" s="63"/>
      <c r="L96" s="63"/>
      <c r="M96" s="223">
        <f t="shared" si="5"/>
        <v>1392.1875</v>
      </c>
      <c r="N96" s="223">
        <f t="shared" si="3"/>
        <v>696.09375</v>
      </c>
      <c r="O96" s="43">
        <v>1.65</v>
      </c>
      <c r="P96" s="224">
        <f>600/0.8*0.9/1.6</f>
        <v>421.875</v>
      </c>
      <c r="Q96" s="63"/>
      <c r="R96" s="30"/>
    </row>
    <row r="97" spans="1:18" s="43" customFormat="1" ht="15.75" hidden="1">
      <c r="A97" s="69"/>
      <c r="B97" s="52">
        <v>7</v>
      </c>
      <c r="C97" s="231" t="s">
        <v>572</v>
      </c>
      <c r="D97" s="74" t="s">
        <v>270</v>
      </c>
      <c r="E97" s="77"/>
      <c r="F97" s="35" t="s">
        <v>228</v>
      </c>
      <c r="G97" s="229" t="str">
        <f t="shared" si="4"/>
        <v/>
      </c>
      <c r="J97" s="30"/>
      <c r="K97" s="63"/>
      <c r="L97" s="63"/>
      <c r="M97" s="223">
        <f t="shared" si="5"/>
        <v>45.274390243902438</v>
      </c>
      <c r="N97" s="223">
        <f t="shared" si="3"/>
        <v>22.637195121951219</v>
      </c>
      <c r="O97" s="43">
        <v>1.65</v>
      </c>
      <c r="P97" s="224">
        <f>20/0.82*0.9/1.6</f>
        <v>13.719512195121952</v>
      </c>
      <c r="Q97" s="63"/>
      <c r="R97" s="30"/>
    </row>
    <row r="98" spans="1:18" s="43" customFormat="1" ht="15.75" hidden="1">
      <c r="A98" s="69"/>
      <c r="B98" s="52">
        <v>7</v>
      </c>
      <c r="C98" s="231" t="s">
        <v>573</v>
      </c>
      <c r="D98" s="74" t="s">
        <v>270</v>
      </c>
      <c r="E98" s="77"/>
      <c r="F98" s="35" t="s">
        <v>228</v>
      </c>
      <c r="G98" s="229" t="str">
        <f t="shared" si="4"/>
        <v/>
      </c>
      <c r="J98" s="30"/>
      <c r="K98" s="63"/>
      <c r="L98" s="63"/>
      <c r="M98" s="223">
        <f t="shared" si="5"/>
        <v>0</v>
      </c>
      <c r="N98" s="223">
        <f t="shared" si="3"/>
        <v>0</v>
      </c>
      <c r="O98" s="43">
        <v>1.65</v>
      </c>
      <c r="P98" s="224">
        <f>((30*0.82)*$E$6)*0.9/1.6</f>
        <v>0</v>
      </c>
      <c r="Q98" s="63"/>
      <c r="R98" s="30"/>
    </row>
    <row r="99" spans="1:18" s="43" customFormat="1" ht="15.75" hidden="1">
      <c r="A99" s="69"/>
      <c r="B99" s="52">
        <v>7</v>
      </c>
      <c r="C99" s="231" t="s">
        <v>574</v>
      </c>
      <c r="D99" s="74" t="s">
        <v>270</v>
      </c>
      <c r="E99" s="77"/>
      <c r="F99" s="35" t="s">
        <v>228</v>
      </c>
      <c r="G99" s="229" t="str">
        <f t="shared" si="4"/>
        <v/>
      </c>
      <c r="J99" s="30"/>
      <c r="K99" s="63"/>
      <c r="L99" s="63"/>
      <c r="M99" s="223">
        <f t="shared" si="5"/>
        <v>135.82317073170731</v>
      </c>
      <c r="N99" s="223">
        <f t="shared" si="3"/>
        <v>67.911585365853654</v>
      </c>
      <c r="O99" s="43">
        <v>1.65</v>
      </c>
      <c r="P99" s="224">
        <f>60/0.82*0.9/1.6</f>
        <v>41.158536585365852</v>
      </c>
      <c r="Q99" s="63"/>
      <c r="R99" s="30"/>
    </row>
    <row r="100" spans="1:18" s="43" customFormat="1" ht="15.75" hidden="1">
      <c r="A100" s="69"/>
      <c r="B100" s="52">
        <v>7</v>
      </c>
      <c r="C100" s="231" t="s">
        <v>575</v>
      </c>
      <c r="D100" s="74" t="s">
        <v>270</v>
      </c>
      <c r="E100" s="77"/>
      <c r="F100" s="35" t="s">
        <v>228</v>
      </c>
      <c r="G100" s="229" t="str">
        <f t="shared" si="4"/>
        <v/>
      </c>
      <c r="J100" s="30"/>
      <c r="K100" s="63"/>
      <c r="L100" s="63"/>
      <c r="M100" s="223">
        <f t="shared" si="5"/>
        <v>169.77896341463415</v>
      </c>
      <c r="N100" s="223">
        <f t="shared" si="3"/>
        <v>84.889481707317074</v>
      </c>
      <c r="O100" s="43">
        <v>1.65</v>
      </c>
      <c r="P100" s="224">
        <f>75/0.82*0.9/1.6</f>
        <v>51.448170731707322</v>
      </c>
      <c r="Q100" s="63"/>
      <c r="R100" s="30"/>
    </row>
    <row r="101" spans="1:18" s="43" customFormat="1" ht="15.75" hidden="1">
      <c r="A101" s="69"/>
      <c r="B101" s="52">
        <v>7</v>
      </c>
      <c r="C101" s="231" t="s">
        <v>576</v>
      </c>
      <c r="D101" s="74" t="s">
        <v>270</v>
      </c>
      <c r="E101" s="77"/>
      <c r="F101" s="35" t="s">
        <v>228</v>
      </c>
      <c r="G101" s="229" t="str">
        <f t="shared" si="4"/>
        <v/>
      </c>
      <c r="J101" s="30"/>
      <c r="K101" s="63"/>
      <c r="L101" s="63"/>
      <c r="M101" s="223">
        <f t="shared" si="5"/>
        <v>67.911585365853654</v>
      </c>
      <c r="N101" s="223">
        <f t="shared" si="3"/>
        <v>33.955792682926827</v>
      </c>
      <c r="O101" s="43">
        <v>1.65</v>
      </c>
      <c r="P101" s="224">
        <f>30/0.82*0.9/1.6</f>
        <v>20.579268292682926</v>
      </c>
      <c r="Q101" s="63"/>
      <c r="R101" s="30"/>
    </row>
    <row r="102" spans="1:18" s="43" customFormat="1" ht="15.75" hidden="1">
      <c r="A102" s="69"/>
      <c r="B102" s="52">
        <v>7</v>
      </c>
      <c r="C102" s="231" t="s">
        <v>577</v>
      </c>
      <c r="D102" s="74" t="s">
        <v>270</v>
      </c>
      <c r="E102" s="77"/>
      <c r="F102" s="35" t="s">
        <v>228</v>
      </c>
      <c r="G102" s="229" t="str">
        <f t="shared" si="4"/>
        <v/>
      </c>
      <c r="J102" s="30"/>
      <c r="K102" s="63"/>
      <c r="L102" s="63"/>
      <c r="M102" s="223">
        <f t="shared" si="5"/>
        <v>67.911585365853654</v>
      </c>
      <c r="N102" s="223">
        <f t="shared" si="3"/>
        <v>33.955792682926827</v>
      </c>
      <c r="O102" s="43">
        <v>1.65</v>
      </c>
      <c r="P102" s="224">
        <f>30/0.82*0.9/1.6</f>
        <v>20.579268292682926</v>
      </c>
      <c r="Q102" s="63"/>
      <c r="R102" s="30"/>
    </row>
    <row r="103" spans="1:18" s="43" customFormat="1" ht="15.75" hidden="1">
      <c r="A103" s="69"/>
      <c r="B103" s="52">
        <v>7</v>
      </c>
      <c r="C103" s="231" t="s">
        <v>578</v>
      </c>
      <c r="D103" s="74" t="s">
        <v>270</v>
      </c>
      <c r="E103" s="77"/>
      <c r="F103" s="35" t="s">
        <v>228</v>
      </c>
      <c r="G103" s="229" t="str">
        <f t="shared" si="4"/>
        <v/>
      </c>
      <c r="J103" s="30"/>
      <c r="K103" s="63"/>
      <c r="L103" s="63"/>
      <c r="M103" s="223">
        <f t="shared" si="5"/>
        <v>148.5</v>
      </c>
      <c r="N103" s="223">
        <f t="shared" si="3"/>
        <v>74.25</v>
      </c>
      <c r="O103" s="43">
        <v>1.65</v>
      </c>
      <c r="P103" s="233">
        <f>(80+(103*$E$5))/$E$2*0.9/1.6</f>
        <v>45</v>
      </c>
      <c r="Q103" s="63"/>
      <c r="R103" s="30"/>
    </row>
    <row r="104" spans="1:18" s="43" customFormat="1" ht="15.75" hidden="1">
      <c r="A104" s="69"/>
      <c r="B104" s="52">
        <v>7</v>
      </c>
      <c r="C104" s="231" t="s">
        <v>579</v>
      </c>
      <c r="D104" s="74" t="s">
        <v>270</v>
      </c>
      <c r="E104" s="77"/>
      <c r="F104" s="35" t="s">
        <v>228</v>
      </c>
      <c r="G104" s="229" t="str">
        <f t="shared" si="4"/>
        <v/>
      </c>
      <c r="J104" s="30"/>
      <c r="K104" s="63"/>
      <c r="L104" s="63"/>
      <c r="M104" s="223">
        <f t="shared" si="5"/>
        <v>1131.8597560975609</v>
      </c>
      <c r="N104" s="223">
        <f t="shared" si="3"/>
        <v>565.92987804878044</v>
      </c>
      <c r="O104" s="43">
        <v>1.65</v>
      </c>
      <c r="P104" s="224">
        <f>500/0.82/$C$12*0.9/1.6</f>
        <v>342.98780487804873</v>
      </c>
      <c r="Q104" s="63"/>
      <c r="R104" s="30"/>
    </row>
    <row r="105" spans="1:18" s="43" customFormat="1" ht="15.75" hidden="1">
      <c r="A105" s="69"/>
      <c r="B105" s="52">
        <v>7</v>
      </c>
      <c r="C105" s="231" t="s">
        <v>580</v>
      </c>
      <c r="D105" s="74" t="s">
        <v>270</v>
      </c>
      <c r="E105" s="77"/>
      <c r="F105" s="35" t="s">
        <v>228</v>
      </c>
      <c r="G105" s="229" t="str">
        <f t="shared" si="4"/>
        <v/>
      </c>
      <c r="J105" s="30"/>
      <c r="K105" s="63"/>
      <c r="L105" s="63"/>
      <c r="M105" s="223">
        <f t="shared" si="5"/>
        <v>67.911585365853654</v>
      </c>
      <c r="N105" s="223">
        <f t="shared" si="3"/>
        <v>33.955792682926827</v>
      </c>
      <c r="O105" s="43">
        <v>1.65</v>
      </c>
      <c r="P105" s="224">
        <f>30/0.82*0.9/1.6</f>
        <v>20.579268292682926</v>
      </c>
      <c r="Q105" s="63"/>
      <c r="R105" s="30"/>
    </row>
    <row r="106" spans="1:18" s="43" customFormat="1" ht="15.75" hidden="1">
      <c r="A106" s="69"/>
      <c r="B106" s="52">
        <v>7</v>
      </c>
      <c r="C106" s="231" t="s">
        <v>581</v>
      </c>
      <c r="D106" s="74" t="s">
        <v>270</v>
      </c>
      <c r="E106" s="77"/>
      <c r="F106" s="35" t="s">
        <v>228</v>
      </c>
      <c r="G106" s="229" t="str">
        <f t="shared" si="4"/>
        <v/>
      </c>
      <c r="J106" s="30"/>
      <c r="K106" s="63"/>
      <c r="L106" s="63"/>
      <c r="M106" s="223">
        <f t="shared" si="5"/>
        <v>67.911585365853654</v>
      </c>
      <c r="N106" s="223">
        <f t="shared" si="3"/>
        <v>33.955792682926827</v>
      </c>
      <c r="O106" s="43">
        <v>1.65</v>
      </c>
      <c r="P106" s="224">
        <f>30/0.82*0.9/1.6</f>
        <v>20.579268292682926</v>
      </c>
      <c r="Q106" s="63"/>
      <c r="R106" s="30"/>
    </row>
    <row r="107" spans="1:18" s="43" customFormat="1" ht="15.75" hidden="1">
      <c r="A107" s="69"/>
      <c r="B107" s="52">
        <v>7</v>
      </c>
      <c r="C107" s="231" t="s">
        <v>582</v>
      </c>
      <c r="D107" s="74" t="s">
        <v>270</v>
      </c>
      <c r="E107" s="77"/>
      <c r="F107" s="35" t="s">
        <v>228</v>
      </c>
      <c r="G107" s="229" t="str">
        <f t="shared" si="4"/>
        <v/>
      </c>
      <c r="J107" s="30"/>
      <c r="K107" s="63"/>
      <c r="L107" s="63"/>
      <c r="M107" s="223">
        <f t="shared" si="5"/>
        <v>67.911585365853654</v>
      </c>
      <c r="N107" s="223">
        <f t="shared" si="3"/>
        <v>33.955792682926827</v>
      </c>
      <c r="O107" s="43">
        <v>1.65</v>
      </c>
      <c r="P107" s="224">
        <f>30/0.82*0.9/1.6</f>
        <v>20.579268292682926</v>
      </c>
      <c r="Q107" s="63"/>
      <c r="R107" s="30"/>
    </row>
    <row r="108" spans="1:18" s="43" customFormat="1" ht="15.75" hidden="1">
      <c r="A108" s="69"/>
      <c r="B108" s="52">
        <v>7</v>
      </c>
      <c r="C108" s="231" t="s">
        <v>583</v>
      </c>
      <c r="D108" s="74" t="s">
        <v>270</v>
      </c>
      <c r="E108" s="77"/>
      <c r="F108" s="35" t="s">
        <v>228</v>
      </c>
      <c r="G108" s="229" t="str">
        <f t="shared" si="4"/>
        <v/>
      </c>
      <c r="J108" s="30"/>
      <c r="K108" s="63"/>
      <c r="L108" s="63"/>
      <c r="M108" s="223">
        <f t="shared" si="5"/>
        <v>67.911585365853654</v>
      </c>
      <c r="N108" s="223">
        <f t="shared" si="3"/>
        <v>33.955792682926827</v>
      </c>
      <c r="O108" s="43">
        <v>1.65</v>
      </c>
      <c r="P108" s="224">
        <f>30/0.82*0.9/1.6</f>
        <v>20.579268292682926</v>
      </c>
      <c r="Q108" s="63"/>
      <c r="R108" s="30"/>
    </row>
    <row r="109" spans="1:18" s="43" customFormat="1" ht="15.75" hidden="1">
      <c r="A109" s="69"/>
      <c r="B109" s="52">
        <v>7</v>
      </c>
      <c r="C109" s="231" t="s">
        <v>584</v>
      </c>
      <c r="D109" s="74" t="s">
        <v>270</v>
      </c>
      <c r="E109" s="77"/>
      <c r="F109" s="35" t="s">
        <v>228</v>
      </c>
      <c r="G109" s="229" t="str">
        <f t="shared" si="4"/>
        <v/>
      </c>
      <c r="J109" s="30"/>
      <c r="K109" s="63"/>
      <c r="L109" s="63"/>
      <c r="M109" s="223">
        <f t="shared" si="5"/>
        <v>556.875</v>
      </c>
      <c r="N109" s="223">
        <f t="shared" si="3"/>
        <v>278.4375</v>
      </c>
      <c r="O109" s="43">
        <v>1.65</v>
      </c>
      <c r="P109" s="224">
        <f>300*0.9/1.6</f>
        <v>168.75</v>
      </c>
      <c r="Q109" s="63"/>
      <c r="R109" s="30"/>
    </row>
    <row r="110" spans="1:18" s="43" customFormat="1" ht="15.75" hidden="1">
      <c r="A110" s="69"/>
      <c r="B110" s="52">
        <v>7</v>
      </c>
      <c r="C110" s="231" t="s">
        <v>585</v>
      </c>
      <c r="D110" s="74" t="s">
        <v>270</v>
      </c>
      <c r="E110" s="77"/>
      <c r="F110" s="35" t="s">
        <v>228</v>
      </c>
      <c r="G110" s="229" t="str">
        <f t="shared" si="4"/>
        <v/>
      </c>
      <c r="J110" s="30"/>
      <c r="K110" s="63"/>
      <c r="L110" s="63"/>
      <c r="M110" s="223">
        <f t="shared" si="5"/>
        <v>271.64634146341461</v>
      </c>
      <c r="N110" s="223">
        <f t="shared" si="3"/>
        <v>135.82317073170731</v>
      </c>
      <c r="O110" s="43">
        <v>1.65</v>
      </c>
      <c r="P110" s="224">
        <f>120/0.82*0.9/1.6</f>
        <v>82.317073170731703</v>
      </c>
      <c r="Q110" s="63"/>
      <c r="R110" s="30"/>
    </row>
    <row r="111" spans="1:18" s="43" customFormat="1" ht="15.75" hidden="1">
      <c r="A111" s="69"/>
      <c r="B111" s="52">
        <v>7</v>
      </c>
      <c r="C111" s="231" t="s">
        <v>586</v>
      </c>
      <c r="D111" s="74" t="s">
        <v>270</v>
      </c>
      <c r="E111" s="77"/>
      <c r="F111" s="35" t="s">
        <v>228</v>
      </c>
      <c r="G111" s="229" t="str">
        <f t="shared" si="4"/>
        <v/>
      </c>
      <c r="J111" s="30"/>
      <c r="K111" s="63"/>
      <c r="L111" s="63"/>
      <c r="M111" s="223">
        <f t="shared" si="5"/>
        <v>504.9</v>
      </c>
      <c r="N111" s="223">
        <f t="shared" si="3"/>
        <v>252.45</v>
      </c>
      <c r="O111" s="43">
        <v>1.65</v>
      </c>
      <c r="P111" s="224">
        <f>272*0.9/1.6</f>
        <v>153</v>
      </c>
      <c r="Q111" s="63"/>
      <c r="R111" s="30"/>
    </row>
    <row r="112" spans="1:18" s="43" customFormat="1" ht="15.75" hidden="1">
      <c r="A112" s="69"/>
      <c r="B112" s="52">
        <v>7</v>
      </c>
      <c r="C112" s="231" t="s">
        <v>587</v>
      </c>
      <c r="D112" s="74" t="s">
        <v>270</v>
      </c>
      <c r="E112" s="77"/>
      <c r="F112" s="35" t="s">
        <v>228</v>
      </c>
      <c r="G112" s="229" t="str">
        <f t="shared" si="4"/>
        <v/>
      </c>
      <c r="J112" s="30"/>
      <c r="K112" s="63"/>
      <c r="L112" s="63"/>
      <c r="M112" s="223">
        <f t="shared" si="5"/>
        <v>870.58124999999995</v>
      </c>
      <c r="N112" s="223">
        <f t="shared" si="3"/>
        <v>435.29062499999998</v>
      </c>
      <c r="O112" s="43">
        <v>1.65</v>
      </c>
      <c r="P112" s="224">
        <f>469*0.9/1.6</f>
        <v>263.8125</v>
      </c>
      <c r="Q112" s="63"/>
      <c r="R112" s="30"/>
    </row>
    <row r="113" spans="1:18" s="43" customFormat="1" ht="15.75" hidden="1">
      <c r="A113" s="69"/>
      <c r="B113" s="52">
        <v>7</v>
      </c>
      <c r="C113" s="231" t="s">
        <v>588</v>
      </c>
      <c r="D113" s="74" t="s">
        <v>270</v>
      </c>
      <c r="E113" s="77"/>
      <c r="F113" s="35" t="s">
        <v>228</v>
      </c>
      <c r="G113" s="229" t="str">
        <f t="shared" si="4"/>
        <v/>
      </c>
      <c r="J113" s="30"/>
      <c r="K113" s="63"/>
      <c r="L113" s="63"/>
      <c r="M113" s="223">
        <f t="shared" si="5"/>
        <v>67.911585365853654</v>
      </c>
      <c r="N113" s="223">
        <f t="shared" si="3"/>
        <v>33.955792682926827</v>
      </c>
      <c r="O113" s="43">
        <v>1.65</v>
      </c>
      <c r="P113" s="224">
        <f>30/0.82*0.9/1.6</f>
        <v>20.579268292682926</v>
      </c>
      <c r="Q113" s="63"/>
      <c r="R113" s="30"/>
    </row>
    <row r="114" spans="1:18" s="43" customFormat="1" ht="15.75" hidden="1">
      <c r="A114" s="69"/>
      <c r="B114" s="52">
        <v>7</v>
      </c>
      <c r="C114" s="231" t="s">
        <v>589</v>
      </c>
      <c r="D114" s="74" t="s">
        <v>270</v>
      </c>
      <c r="E114" s="77"/>
      <c r="F114" s="35" t="s">
        <v>228</v>
      </c>
      <c r="G114" s="229" t="str">
        <f t="shared" si="4"/>
        <v/>
      </c>
      <c r="J114" s="30"/>
      <c r="K114" s="63"/>
      <c r="L114" s="63"/>
      <c r="M114" s="223">
        <f t="shared" si="5"/>
        <v>0</v>
      </c>
      <c r="N114" s="223">
        <f t="shared" si="3"/>
        <v>0</v>
      </c>
      <c r="O114" s="43">
        <v>1.65</v>
      </c>
      <c r="P114" s="224"/>
      <c r="Q114" s="63"/>
      <c r="R114" s="30"/>
    </row>
    <row r="115" spans="1:18" s="43" customFormat="1" ht="15.75" hidden="1">
      <c r="A115" s="69"/>
      <c r="B115" s="52">
        <v>7</v>
      </c>
      <c r="C115" s="231" t="s">
        <v>590</v>
      </c>
      <c r="D115" s="74" t="s">
        <v>270</v>
      </c>
      <c r="E115" s="77"/>
      <c r="F115" s="35" t="s">
        <v>228</v>
      </c>
      <c r="G115" s="229" t="str">
        <f t="shared" si="4"/>
        <v/>
      </c>
      <c r="J115" s="30"/>
      <c r="K115" s="63"/>
      <c r="L115" s="63"/>
      <c r="M115" s="223">
        <f t="shared" si="5"/>
        <v>996.03658536585374</v>
      </c>
      <c r="N115" s="223">
        <f t="shared" si="3"/>
        <v>498.01829268292687</v>
      </c>
      <c r="O115" s="43">
        <v>1.65</v>
      </c>
      <c r="P115" s="224">
        <f>440/0.82*0.9/1.6</f>
        <v>301.82926829268297</v>
      </c>
      <c r="Q115" s="63"/>
      <c r="R115" s="30"/>
    </row>
    <row r="116" spans="1:18" s="43" customFormat="1" ht="15.75" hidden="1">
      <c r="A116" s="69"/>
      <c r="B116" s="52">
        <v>7</v>
      </c>
      <c r="C116" s="231" t="s">
        <v>591</v>
      </c>
      <c r="D116" s="74" t="s">
        <v>270</v>
      </c>
      <c r="E116" s="77"/>
      <c r="F116" s="35" t="s">
        <v>228</v>
      </c>
      <c r="G116" s="229" t="str">
        <f t="shared" si="4"/>
        <v/>
      </c>
      <c r="J116" s="30"/>
      <c r="K116" s="63"/>
      <c r="L116" s="63"/>
      <c r="M116" s="223">
        <f t="shared" si="5"/>
        <v>1131.8597560975609</v>
      </c>
      <c r="N116" s="223">
        <f t="shared" si="3"/>
        <v>565.92987804878044</v>
      </c>
      <c r="O116" s="43">
        <v>1.65</v>
      </c>
      <c r="P116" s="224">
        <f>500/0.82*0.9/1.6</f>
        <v>342.98780487804873</v>
      </c>
      <c r="Q116" s="63"/>
      <c r="R116" s="30"/>
    </row>
    <row r="117" spans="1:18" s="43" customFormat="1" ht="15.75" hidden="1">
      <c r="A117" s="69"/>
      <c r="B117" s="52">
        <v>7</v>
      </c>
      <c r="C117" s="231" t="s">
        <v>592</v>
      </c>
      <c r="D117" s="74" t="s">
        <v>270</v>
      </c>
      <c r="E117" s="77"/>
      <c r="F117" s="35" t="s">
        <v>228</v>
      </c>
      <c r="G117" s="229" t="str">
        <f t="shared" si="4"/>
        <v/>
      </c>
      <c r="J117" s="30"/>
      <c r="K117" s="63"/>
      <c r="L117" s="63"/>
      <c r="M117" s="223">
        <f t="shared" si="5"/>
        <v>1414.8246951219512</v>
      </c>
      <c r="N117" s="223">
        <f t="shared" si="3"/>
        <v>707.4123475609756</v>
      </c>
      <c r="O117" s="43">
        <v>1.65</v>
      </c>
      <c r="P117" s="224">
        <f>625/0.82*0.9/1.6</f>
        <v>428.73475609756099</v>
      </c>
      <c r="Q117" s="63"/>
      <c r="R117" s="30"/>
    </row>
    <row r="118" spans="1:18" s="43" customFormat="1" ht="15.75" hidden="1">
      <c r="A118" s="69"/>
      <c r="B118" s="52">
        <v>7</v>
      </c>
      <c r="C118" s="231" t="s">
        <v>593</v>
      </c>
      <c r="D118" s="74" t="s">
        <v>270</v>
      </c>
      <c r="E118" s="77"/>
      <c r="F118" s="35" t="s">
        <v>228</v>
      </c>
      <c r="G118" s="229" t="str">
        <f t="shared" si="4"/>
        <v/>
      </c>
      <c r="J118" s="30"/>
      <c r="K118" s="63"/>
      <c r="L118" s="63"/>
      <c r="M118" s="223">
        <f t="shared" si="5"/>
        <v>713.07164634146341</v>
      </c>
      <c r="N118" s="223">
        <f t="shared" si="3"/>
        <v>356.5358231707317</v>
      </c>
      <c r="O118" s="43">
        <v>1.65</v>
      </c>
      <c r="P118" s="224">
        <f>315/0.82*0.9/1.6</f>
        <v>216.08231707317074</v>
      </c>
      <c r="Q118" s="63"/>
      <c r="R118" s="30"/>
    </row>
    <row r="119" spans="1:18" s="43" customFormat="1" ht="15.75" hidden="1">
      <c r="A119" s="69"/>
      <c r="B119" s="52">
        <v>7</v>
      </c>
      <c r="C119" s="231" t="s">
        <v>594</v>
      </c>
      <c r="D119" s="74" t="s">
        <v>270</v>
      </c>
      <c r="E119" s="77"/>
      <c r="F119" s="35" t="s">
        <v>228</v>
      </c>
      <c r="G119" s="229" t="str">
        <f t="shared" si="4"/>
        <v/>
      </c>
      <c r="J119" s="30"/>
      <c r="K119" s="63"/>
      <c r="L119" s="63"/>
      <c r="M119" s="223">
        <f t="shared" si="5"/>
        <v>-148.5</v>
      </c>
      <c r="N119" s="223">
        <f t="shared" si="3"/>
        <v>-74.25</v>
      </c>
      <c r="O119" s="43">
        <v>1.65</v>
      </c>
      <c r="P119" s="224">
        <f>(-80)*0.9/1.6</f>
        <v>-45</v>
      </c>
      <c r="Q119" s="63"/>
      <c r="R119" s="30"/>
    </row>
    <row r="120" spans="1:18" s="43" customFormat="1" ht="15.75" hidden="1">
      <c r="A120" s="69"/>
      <c r="B120" s="52">
        <v>7</v>
      </c>
      <c r="C120" s="231" t="s">
        <v>595</v>
      </c>
      <c r="D120" s="74" t="s">
        <v>270</v>
      </c>
      <c r="E120" s="77"/>
      <c r="F120" s="35" t="s">
        <v>228</v>
      </c>
      <c r="G120" s="229" t="str">
        <f t="shared" si="4"/>
        <v/>
      </c>
      <c r="J120" s="30"/>
      <c r="K120" s="63"/>
      <c r="L120" s="63"/>
      <c r="M120" s="223">
        <f t="shared" si="5"/>
        <v>837.57621951219505</v>
      </c>
      <c r="N120" s="223">
        <f t="shared" si="3"/>
        <v>418.78810975609753</v>
      </c>
      <c r="O120" s="43">
        <v>1.65</v>
      </c>
      <c r="P120" s="224">
        <f>370/0.82*0.9/1.6</f>
        <v>253.8109756097561</v>
      </c>
      <c r="Q120" s="63"/>
      <c r="R120" s="30"/>
    </row>
    <row r="121" spans="1:18" s="43" customFormat="1" ht="15.75" hidden="1">
      <c r="A121" s="69"/>
      <c r="B121" s="52">
        <v>7</v>
      </c>
      <c r="C121" s="231" t="s">
        <v>596</v>
      </c>
      <c r="D121" s="74" t="s">
        <v>270</v>
      </c>
      <c r="E121" s="77"/>
      <c r="F121" s="35" t="s">
        <v>228</v>
      </c>
      <c r="G121" s="229" t="str">
        <f t="shared" si="4"/>
        <v/>
      </c>
      <c r="J121" s="30"/>
      <c r="K121" s="63"/>
      <c r="L121" s="63"/>
      <c r="M121" s="223">
        <f t="shared" si="5"/>
        <v>554.61128048780483</v>
      </c>
      <c r="N121" s="223">
        <f t="shared" si="3"/>
        <v>277.30564024390242</v>
      </c>
      <c r="O121" s="43">
        <v>1.65</v>
      </c>
      <c r="P121" s="224">
        <f>245/0.82*0.9/1.6</f>
        <v>168.0640243902439</v>
      </c>
      <c r="Q121" s="63"/>
      <c r="R121" s="30"/>
    </row>
    <row r="122" spans="1:18" s="43" customFormat="1" ht="15.75" hidden="1">
      <c r="A122" s="69"/>
      <c r="B122" s="52">
        <v>7</v>
      </c>
      <c r="C122" s="231" t="s">
        <v>597</v>
      </c>
      <c r="D122" s="74" t="s">
        <v>270</v>
      </c>
      <c r="E122" s="77"/>
      <c r="F122" s="35" t="s">
        <v>228</v>
      </c>
      <c r="G122" s="229" t="str">
        <f t="shared" si="4"/>
        <v/>
      </c>
      <c r="J122" s="30"/>
      <c r="K122" s="63"/>
      <c r="L122" s="63"/>
      <c r="M122" s="223">
        <f t="shared" si="5"/>
        <v>755.49374999999998</v>
      </c>
      <c r="N122" s="223">
        <f t="shared" si="3"/>
        <v>377.74687499999999</v>
      </c>
      <c r="O122" s="43">
        <v>1.65</v>
      </c>
      <c r="P122" s="224">
        <f>407*0.9/1.6</f>
        <v>228.9375</v>
      </c>
      <c r="Q122" s="63"/>
      <c r="R122" s="30"/>
    </row>
    <row r="123" spans="1:18" s="43" customFormat="1" ht="15.75" hidden="1">
      <c r="A123" s="69"/>
      <c r="B123" s="52">
        <v>7</v>
      </c>
      <c r="C123" s="231" t="s">
        <v>598</v>
      </c>
      <c r="D123" s="74" t="s">
        <v>270</v>
      </c>
      <c r="E123" s="78"/>
      <c r="F123" s="35" t="s">
        <v>228</v>
      </c>
      <c r="G123" s="229" t="str">
        <f t="shared" si="4"/>
        <v/>
      </c>
      <c r="J123" s="30"/>
      <c r="K123" s="63"/>
      <c r="L123" s="63"/>
      <c r="M123" s="223">
        <f t="shared" si="5"/>
        <v>0</v>
      </c>
      <c r="N123" s="223">
        <f t="shared" si="3"/>
        <v>0</v>
      </c>
      <c r="O123" s="43">
        <v>1.65</v>
      </c>
      <c r="P123" s="224"/>
      <c r="Q123" s="63"/>
      <c r="R123" s="30"/>
    </row>
    <row r="124" spans="1:18" s="43" customFormat="1" ht="15.75" hidden="1">
      <c r="A124" s="69"/>
      <c r="B124" s="52">
        <v>7</v>
      </c>
      <c r="C124" s="231" t="s">
        <v>599</v>
      </c>
      <c r="D124" s="74" t="s">
        <v>270</v>
      </c>
      <c r="E124" s="77"/>
      <c r="F124" s="35" t="s">
        <v>228</v>
      </c>
      <c r="G124" s="229" t="str">
        <f t="shared" si="4"/>
        <v/>
      </c>
      <c r="J124" s="30"/>
      <c r="K124" s="63"/>
      <c r="L124" s="63"/>
      <c r="M124" s="223">
        <f t="shared" si="5"/>
        <v>139.21875</v>
      </c>
      <c r="N124" s="223">
        <f t="shared" si="3"/>
        <v>69.609375</v>
      </c>
      <c r="O124" s="43">
        <v>1.65</v>
      </c>
      <c r="P124" s="224">
        <f>75*0.9/1.6</f>
        <v>42.1875</v>
      </c>
      <c r="Q124" s="63"/>
      <c r="R124" s="30"/>
    </row>
    <row r="125" spans="1:18" s="43" customFormat="1" ht="15.75" hidden="1">
      <c r="A125" s="69"/>
      <c r="B125" s="52">
        <v>7</v>
      </c>
      <c r="C125" s="231" t="s">
        <v>600</v>
      </c>
      <c r="D125" s="74" t="s">
        <v>270</v>
      </c>
      <c r="E125" s="77"/>
      <c r="F125" s="35" t="s">
        <v>228</v>
      </c>
      <c r="G125" s="229" t="str">
        <f t="shared" si="4"/>
        <v/>
      </c>
      <c r="J125" s="30"/>
      <c r="K125" s="63"/>
      <c r="L125" s="63"/>
      <c r="M125" s="223">
        <f t="shared" si="5"/>
        <v>406.51874999999995</v>
      </c>
      <c r="N125" s="223">
        <f t="shared" si="3"/>
        <v>203.25937499999998</v>
      </c>
      <c r="O125" s="43">
        <v>1.65</v>
      </c>
      <c r="P125" s="224">
        <f>219*0.9/1.6</f>
        <v>123.18749999999999</v>
      </c>
      <c r="Q125" s="63"/>
      <c r="R125" s="30"/>
    </row>
    <row r="126" spans="1:18" s="43" customFormat="1" ht="15.75" hidden="1">
      <c r="A126" s="69"/>
      <c r="B126" s="52">
        <v>7</v>
      </c>
      <c r="C126" s="231" t="s">
        <v>601</v>
      </c>
      <c r="D126" s="74" t="s">
        <v>270</v>
      </c>
      <c r="E126" s="77"/>
      <c r="F126" s="35" t="s">
        <v>228</v>
      </c>
      <c r="G126" s="229" t="str">
        <f t="shared" si="4"/>
        <v/>
      </c>
      <c r="J126" s="30"/>
      <c r="K126" s="63"/>
      <c r="L126" s="63"/>
      <c r="M126" s="223" t="e">
        <f t="shared" ca="1" si="5"/>
        <v>#N/A</v>
      </c>
      <c r="N126" s="223" t="e">
        <f t="shared" ca="1" si="3"/>
        <v>#N/A</v>
      </c>
      <c r="O126" s="43">
        <v>1.65</v>
      </c>
      <c r="P126" s="224" t="e">
        <f ca="1">IF($G$3&lt;21,(786),IF($G$3&lt;26,(818),IF($G$3&lt;31,(1048),IF($G$3&lt;41,(1015),IF($G$3&lt;51,(1308),IF($G$3&gt;50,(2413),))))))*0.9/1.6</f>
        <v>#N/A</v>
      </c>
      <c r="Q126" s="63"/>
      <c r="R126" s="30"/>
    </row>
    <row r="127" spans="1:18" s="43" customFormat="1" ht="15.75" hidden="1">
      <c r="A127" s="69"/>
      <c r="B127" s="52">
        <v>7</v>
      </c>
      <c r="C127" s="231" t="s">
        <v>602</v>
      </c>
      <c r="D127" s="74" t="s">
        <v>270</v>
      </c>
      <c r="E127" s="77"/>
      <c r="F127" s="35" t="s">
        <v>228</v>
      </c>
      <c r="G127" s="229" t="str">
        <f t="shared" si="4"/>
        <v/>
      </c>
      <c r="J127" s="30"/>
      <c r="K127" s="63"/>
      <c r="L127" s="63"/>
      <c r="M127" s="223" t="e">
        <f t="shared" ca="1" si="5"/>
        <v>#N/A</v>
      </c>
      <c r="N127" s="223" t="e">
        <f t="shared" ca="1" si="3"/>
        <v>#N/A</v>
      </c>
      <c r="O127" s="43">
        <v>1.65</v>
      </c>
      <c r="P127" s="224" t="e">
        <f ca="1">IF($G$3&lt;25,(786),IF($G$3&lt;31,(818),IF($G$3&lt;41,(1048),IF($G$3&lt;51,(1015),IF($G$3&lt;61,(1308),IF($G$3&gt;60,(2413),))))))*0.9/1.6</f>
        <v>#N/A</v>
      </c>
      <c r="Q127" s="63"/>
      <c r="R127" s="30"/>
    </row>
    <row r="128" spans="1:18" s="43" customFormat="1" ht="15.75" hidden="1">
      <c r="A128" s="69"/>
      <c r="B128" s="52">
        <v>7</v>
      </c>
      <c r="C128" s="231" t="s">
        <v>603</v>
      </c>
      <c r="D128" s="74" t="s">
        <v>270</v>
      </c>
      <c r="E128" s="77"/>
      <c r="F128" s="35" t="s">
        <v>228</v>
      </c>
      <c r="G128" s="229" t="str">
        <f t="shared" si="4"/>
        <v/>
      </c>
      <c r="J128" s="30"/>
      <c r="K128" s="63"/>
      <c r="L128" s="63"/>
      <c r="M128" s="223" t="e">
        <f t="shared" ca="1" si="5"/>
        <v>#N/A</v>
      </c>
      <c r="N128" s="223" t="e">
        <f t="shared" ca="1" si="3"/>
        <v>#N/A</v>
      </c>
      <c r="O128" s="43">
        <v>1.65</v>
      </c>
      <c r="P128" s="224" t="e">
        <f ca="1">IF($G$3&lt;31,(672),IF($G$3&lt;51,(786),IF($G$3&lt;61,(818),IF($G$3&gt;60,(1308),))))*0.9/1.6</f>
        <v>#N/A</v>
      </c>
      <c r="Q128" s="63"/>
      <c r="R128" s="30"/>
    </row>
    <row r="129" spans="1:18" s="43" customFormat="1" ht="15.75" hidden="1">
      <c r="A129" s="69"/>
      <c r="B129" s="52">
        <v>7</v>
      </c>
      <c r="C129" s="231" t="s">
        <v>604</v>
      </c>
      <c r="D129" s="74" t="s">
        <v>270</v>
      </c>
      <c r="E129" s="77"/>
      <c r="F129" s="35" t="s">
        <v>228</v>
      </c>
      <c r="G129" s="229" t="str">
        <f t="shared" si="4"/>
        <v/>
      </c>
      <c r="J129" s="30"/>
      <c r="K129" s="63"/>
      <c r="L129" s="63"/>
      <c r="M129" s="223">
        <f t="shared" si="5"/>
        <v>825</v>
      </c>
      <c r="N129" s="223">
        <f t="shared" si="3"/>
        <v>412.5</v>
      </c>
      <c r="O129" s="43">
        <v>1.65</v>
      </c>
      <c r="P129" s="224">
        <f>400/0.9*0.9/1.6</f>
        <v>250</v>
      </c>
      <c r="Q129" s="63"/>
      <c r="R129" s="30"/>
    </row>
    <row r="130" spans="1:18" s="43" customFormat="1" ht="15.75" hidden="1">
      <c r="A130" s="69"/>
      <c r="B130" s="52">
        <v>7</v>
      </c>
      <c r="C130" s="231" t="s">
        <v>605</v>
      </c>
      <c r="D130" s="74" t="s">
        <v>270</v>
      </c>
      <c r="E130" s="77"/>
      <c r="F130" s="35" t="s">
        <v>228</v>
      </c>
      <c r="G130" s="229" t="str">
        <f t="shared" si="4"/>
        <v/>
      </c>
      <c r="J130" s="30"/>
      <c r="K130" s="63"/>
      <c r="L130" s="63"/>
      <c r="M130" s="223">
        <f t="shared" si="5"/>
        <v>2320.3125</v>
      </c>
      <c r="N130" s="223">
        <f t="shared" si="3"/>
        <v>1160.15625</v>
      </c>
      <c r="O130" s="43">
        <v>1.65</v>
      </c>
      <c r="P130" s="224">
        <f>1250*0.9/1.6</f>
        <v>703.125</v>
      </c>
      <c r="Q130" s="63"/>
      <c r="R130" s="30"/>
    </row>
    <row r="131" spans="1:18" s="43" customFormat="1" ht="15.75" hidden="1">
      <c r="A131" s="69"/>
      <c r="B131" s="52">
        <v>7</v>
      </c>
      <c r="C131" s="231" t="s">
        <v>606</v>
      </c>
      <c r="D131" s="74" t="s">
        <v>270</v>
      </c>
      <c r="E131" s="77"/>
      <c r="F131" s="35" t="s">
        <v>228</v>
      </c>
      <c r="G131" s="229" t="str">
        <f t="shared" si="4"/>
        <v/>
      </c>
      <c r="J131" s="30"/>
      <c r="K131" s="63"/>
      <c r="L131" s="63"/>
      <c r="M131" s="223">
        <f t="shared" si="5"/>
        <v>458.49374999999998</v>
      </c>
      <c r="N131" s="223">
        <f t="shared" si="3"/>
        <v>229.24687499999999</v>
      </c>
      <c r="O131" s="43">
        <v>1.65</v>
      </c>
      <c r="P131" s="224">
        <f>(47+($E$5*12)+200)*0.9/1.6</f>
        <v>138.9375</v>
      </c>
      <c r="Q131" s="63"/>
      <c r="R131" s="30"/>
    </row>
    <row r="132" spans="1:18" s="43" customFormat="1" ht="15.75" hidden="1">
      <c r="A132" s="69"/>
      <c r="B132" s="52">
        <v>7</v>
      </c>
      <c r="C132" s="231" t="s">
        <v>607</v>
      </c>
      <c r="D132" s="74" t="s">
        <v>270</v>
      </c>
      <c r="E132" s="77"/>
      <c r="F132" s="35" t="s">
        <v>228</v>
      </c>
      <c r="G132" s="229" t="str">
        <f t="shared" si="4"/>
        <v/>
      </c>
      <c r="J132" s="30"/>
      <c r="K132" s="63"/>
      <c r="L132" s="63"/>
      <c r="M132" s="223">
        <f t="shared" si="5"/>
        <v>87.243749999999991</v>
      </c>
      <c r="N132" s="223">
        <f t="shared" si="3"/>
        <v>43.621874999999996</v>
      </c>
      <c r="O132" s="43">
        <v>1.65</v>
      </c>
      <c r="P132" s="224">
        <f>(47+($E$5*12))*0.9/1.6</f>
        <v>26.4375</v>
      </c>
      <c r="Q132" s="63"/>
      <c r="R132" s="30"/>
    </row>
    <row r="133" spans="1:18" s="43" customFormat="1" ht="15.75" hidden="1">
      <c r="A133" s="69"/>
      <c r="B133" s="52">
        <v>7</v>
      </c>
      <c r="C133" s="231" t="s">
        <v>608</v>
      </c>
      <c r="D133" s="74" t="s">
        <v>270</v>
      </c>
      <c r="E133" s="77"/>
      <c r="F133" s="35" t="s">
        <v>228</v>
      </c>
      <c r="G133" s="229" t="str">
        <f t="shared" si="4"/>
        <v/>
      </c>
      <c r="J133" s="30"/>
      <c r="K133" s="63"/>
      <c r="L133" s="63"/>
      <c r="M133" s="223">
        <f t="shared" si="5"/>
        <v>339.5579268292683</v>
      </c>
      <c r="N133" s="223">
        <f t="shared" si="3"/>
        <v>169.77896341463415</v>
      </c>
      <c r="O133" s="43">
        <v>1.65</v>
      </c>
      <c r="P133" s="224">
        <f>150/0.82*0.9/1.6</f>
        <v>102.89634146341464</v>
      </c>
      <c r="Q133" s="63"/>
      <c r="R133" s="30"/>
    </row>
    <row r="134" spans="1:18" s="43" customFormat="1" ht="15.75" hidden="1">
      <c r="A134" s="69"/>
      <c r="B134" s="52">
        <v>7</v>
      </c>
      <c r="C134" s="231" t="s">
        <v>609</v>
      </c>
      <c r="D134" s="74" t="s">
        <v>270</v>
      </c>
      <c r="E134" s="77"/>
      <c r="F134" s="35" t="s">
        <v>228</v>
      </c>
      <c r="G134" s="229" t="str">
        <f t="shared" si="4"/>
        <v/>
      </c>
      <c r="J134" s="30"/>
      <c r="K134" s="63"/>
      <c r="L134" s="63"/>
      <c r="M134" s="223">
        <f t="shared" si="5"/>
        <v>162.98780487804876</v>
      </c>
      <c r="N134" s="223">
        <f t="shared" si="3"/>
        <v>81.493902439024382</v>
      </c>
      <c r="O134" s="43">
        <v>1.65</v>
      </c>
      <c r="P134" s="224">
        <f>72/0.82*0.9/1.6</f>
        <v>49.390243902439025</v>
      </c>
      <c r="Q134" s="63"/>
      <c r="R134" s="30"/>
    </row>
    <row r="135" spans="1:18" s="43" customFormat="1" ht="15.75" hidden="1">
      <c r="A135" s="69"/>
      <c r="B135" s="52">
        <v>7</v>
      </c>
      <c r="C135" s="231" t="s">
        <v>610</v>
      </c>
      <c r="D135" s="74" t="s">
        <v>270</v>
      </c>
      <c r="E135" s="77"/>
      <c r="F135" s="35" t="s">
        <v>228</v>
      </c>
      <c r="G135" s="229" t="str">
        <f t="shared" si="4"/>
        <v/>
      </c>
      <c r="J135" s="30"/>
      <c r="K135" s="63"/>
      <c r="L135" s="63"/>
      <c r="M135" s="223">
        <f t="shared" si="5"/>
        <v>0</v>
      </c>
      <c r="N135" s="223">
        <f t="shared" si="3"/>
        <v>0</v>
      </c>
      <c r="O135" s="43">
        <v>1.65</v>
      </c>
      <c r="P135" s="224"/>
      <c r="Q135" s="63"/>
      <c r="R135" s="30"/>
    </row>
    <row r="136" spans="1:18" s="43" customFormat="1" ht="15.75" hidden="1">
      <c r="A136" s="69"/>
      <c r="B136" s="52">
        <v>7</v>
      </c>
      <c r="C136" s="231" t="s">
        <v>611</v>
      </c>
      <c r="D136" s="74" t="s">
        <v>270</v>
      </c>
      <c r="E136" s="77"/>
      <c r="F136" s="35" t="s">
        <v>228</v>
      </c>
      <c r="G136" s="229" t="str">
        <f t="shared" si="4"/>
        <v/>
      </c>
      <c r="J136" s="30"/>
      <c r="K136" s="63"/>
      <c r="L136" s="63"/>
      <c r="M136" s="223">
        <f t="shared" si="5"/>
        <v>0</v>
      </c>
      <c r="N136" s="223">
        <f t="shared" ref="N136:N150" si="6">P136*O136</f>
        <v>0</v>
      </c>
      <c r="O136" s="43">
        <v>1.65</v>
      </c>
      <c r="P136" s="224"/>
      <c r="Q136" s="63"/>
      <c r="R136" s="30"/>
    </row>
    <row r="137" spans="1:18" s="43" customFormat="1" ht="15.75" hidden="1">
      <c r="A137" s="69"/>
      <c r="B137" s="52">
        <v>7</v>
      </c>
      <c r="C137" s="231" t="s">
        <v>611</v>
      </c>
      <c r="D137" s="74" t="s">
        <v>270</v>
      </c>
      <c r="E137" s="77"/>
      <c r="F137" s="35" t="s">
        <v>228</v>
      </c>
      <c r="G137" s="229" t="str">
        <f t="shared" si="4"/>
        <v/>
      </c>
      <c r="J137" s="30"/>
      <c r="K137" s="63"/>
      <c r="L137" s="63"/>
      <c r="M137" s="223">
        <f t="shared" si="5"/>
        <v>0</v>
      </c>
      <c r="N137" s="223">
        <f t="shared" si="6"/>
        <v>0</v>
      </c>
      <c r="O137" s="43">
        <v>1.65</v>
      </c>
      <c r="P137" s="224"/>
      <c r="Q137" s="63"/>
      <c r="R137" s="30"/>
    </row>
    <row r="138" spans="1:18" s="43" customFormat="1" ht="15.75" hidden="1">
      <c r="A138" s="69"/>
      <c r="B138" s="52">
        <v>7</v>
      </c>
      <c r="C138" s="35" t="s">
        <v>271</v>
      </c>
      <c r="D138" s="74"/>
      <c r="E138" s="234" t="str">
        <f>IF(ISBLANK(A138),"",(A138*M138*(1-$H$3)))</f>
        <v/>
      </c>
      <c r="F138" s="35"/>
      <c r="G138" s="229" t="str">
        <f t="shared" si="4"/>
        <v/>
      </c>
      <c r="J138" s="30"/>
      <c r="K138" s="63"/>
      <c r="L138" s="63"/>
      <c r="M138" s="223">
        <f t="shared" si="5"/>
        <v>3758.90625</v>
      </c>
      <c r="N138" s="223">
        <f t="shared" si="6"/>
        <v>1879.453125</v>
      </c>
      <c r="O138" s="43">
        <v>1.65</v>
      </c>
      <c r="P138" s="224">
        <f>2025*0.9/1.6</f>
        <v>1139.0625</v>
      </c>
      <c r="Q138" s="63"/>
      <c r="R138" s="30"/>
    </row>
    <row r="139" spans="1:18" s="43" customFormat="1" ht="45.75" hidden="1">
      <c r="A139" s="69"/>
      <c r="B139" s="52">
        <v>7</v>
      </c>
      <c r="C139" s="193" t="s">
        <v>612</v>
      </c>
      <c r="D139" s="74"/>
      <c r="E139" s="234" t="str">
        <f t="shared" ref="E139:E150" si="7">IF(ISBLANK(A139),"",(A139*M139*(1-$H$3)))</f>
        <v/>
      </c>
      <c r="F139" s="35"/>
      <c r="G139" s="229" t="str">
        <f t="shared" si="4"/>
        <v/>
      </c>
      <c r="J139" s="30"/>
      <c r="K139" s="63"/>
      <c r="L139" s="63"/>
      <c r="M139" s="223">
        <f t="shared" si="5"/>
        <v>2773.582848837209</v>
      </c>
      <c r="N139" s="223">
        <f t="shared" si="6"/>
        <v>1386.7914244186045</v>
      </c>
      <c r="O139" s="43">
        <v>1.65</v>
      </c>
      <c r="P139" s="224">
        <f>1285/0.86/$C$12*0.9/1.6</f>
        <v>840.47965116279067</v>
      </c>
      <c r="Q139" s="63"/>
      <c r="R139" s="30"/>
    </row>
    <row r="140" spans="1:18" s="43" customFormat="1" ht="46.5" hidden="1">
      <c r="A140" s="69"/>
      <c r="B140" s="52">
        <v>7</v>
      </c>
      <c r="C140" s="193" t="s">
        <v>272</v>
      </c>
      <c r="D140" s="74"/>
      <c r="E140" s="234" t="str">
        <f t="shared" si="7"/>
        <v/>
      </c>
      <c r="F140" s="35"/>
      <c r="G140" s="229" t="str">
        <f t="shared" si="4"/>
        <v/>
      </c>
      <c r="J140" s="30"/>
      <c r="K140" s="63"/>
      <c r="L140" s="63"/>
      <c r="M140" s="223">
        <f t="shared" si="5"/>
        <v>4306.0683139534885</v>
      </c>
      <c r="N140" s="223">
        <f t="shared" si="6"/>
        <v>2153.0341569767443</v>
      </c>
      <c r="O140" s="43">
        <v>1.65</v>
      </c>
      <c r="P140" s="224">
        <f>1995/0.86*0.9/1.6</f>
        <v>1304.8691860465117</v>
      </c>
      <c r="Q140" s="63"/>
      <c r="R140" s="30"/>
    </row>
    <row r="141" spans="1:18" s="43" customFormat="1" ht="46.5" hidden="1">
      <c r="A141" s="69"/>
      <c r="B141" s="52">
        <v>7</v>
      </c>
      <c r="C141" s="193" t="s">
        <v>273</v>
      </c>
      <c r="D141" s="74"/>
      <c r="E141" s="234" t="str">
        <f t="shared" si="7"/>
        <v/>
      </c>
      <c r="F141" s="35"/>
      <c r="G141" s="229" t="str">
        <f t="shared" si="4"/>
        <v/>
      </c>
      <c r="J141" s="30"/>
      <c r="K141" s="63"/>
      <c r="L141" s="63"/>
      <c r="M141" s="223">
        <f t="shared" si="5"/>
        <v>5180.2325581395344</v>
      </c>
      <c r="N141" s="223">
        <f t="shared" si="6"/>
        <v>2590.1162790697672</v>
      </c>
      <c r="O141" s="43">
        <v>1.65</v>
      </c>
      <c r="P141" s="224">
        <f>2400/0.86*0.9/1.6</f>
        <v>1569.7674418604652</v>
      </c>
      <c r="Q141" s="63"/>
      <c r="R141" s="30"/>
    </row>
    <row r="142" spans="1:18" s="43" customFormat="1" ht="15.75" hidden="1">
      <c r="A142" s="69"/>
      <c r="B142" s="52">
        <v>7</v>
      </c>
      <c r="C142" s="193" t="s">
        <v>613</v>
      </c>
      <c r="D142" s="74"/>
      <c r="E142" s="234" t="str">
        <f t="shared" si="7"/>
        <v/>
      </c>
      <c r="F142" s="35" t="s">
        <v>614</v>
      </c>
      <c r="G142" s="229" t="str">
        <f t="shared" si="4"/>
        <v/>
      </c>
      <c r="J142" s="30"/>
      <c r="K142" s="63"/>
      <c r="L142" s="63"/>
      <c r="M142" s="223">
        <f t="shared" si="5"/>
        <v>1516</v>
      </c>
      <c r="N142" s="223">
        <f t="shared" si="6"/>
        <v>758</v>
      </c>
      <c r="O142" s="43">
        <v>1.65</v>
      </c>
      <c r="P142" s="224">
        <f>758/(0.928125)*0.9/1.6</f>
        <v>459.39393939393943</v>
      </c>
      <c r="Q142" s="63"/>
      <c r="R142" s="30"/>
    </row>
    <row r="143" spans="1:18" s="43" customFormat="1" ht="15.75" hidden="1">
      <c r="A143" s="69"/>
      <c r="B143" s="52">
        <v>7</v>
      </c>
      <c r="C143" s="35" t="s">
        <v>274</v>
      </c>
      <c r="D143" s="74"/>
      <c r="E143" s="234" t="str">
        <f t="shared" si="7"/>
        <v/>
      </c>
      <c r="F143" s="35"/>
      <c r="G143" s="229" t="str">
        <f t="shared" si="4"/>
        <v/>
      </c>
      <c r="J143" s="30"/>
      <c r="K143" s="63"/>
      <c r="L143" s="63"/>
      <c r="M143" s="223">
        <f t="shared" si="5"/>
        <v>3480.46875</v>
      </c>
      <c r="N143" s="223">
        <f t="shared" si="6"/>
        <v>1740.234375</v>
      </c>
      <c r="O143" s="43">
        <v>1.65</v>
      </c>
      <c r="P143" s="224">
        <f>1875*0.9/1.6</f>
        <v>1054.6875</v>
      </c>
      <c r="Q143" s="63"/>
      <c r="R143" s="30"/>
    </row>
    <row r="144" spans="1:18" s="43" customFormat="1" ht="15.75" hidden="1">
      <c r="A144" s="69"/>
      <c r="B144" s="52">
        <v>7</v>
      </c>
      <c r="C144" s="35" t="s">
        <v>275</v>
      </c>
      <c r="D144" s="74"/>
      <c r="E144" s="234" t="str">
        <f t="shared" si="7"/>
        <v/>
      </c>
      <c r="F144" s="35"/>
      <c r="G144" s="229" t="str">
        <f t="shared" si="4"/>
        <v/>
      </c>
      <c r="J144" s="30"/>
      <c r="K144" s="63"/>
      <c r="L144" s="63"/>
      <c r="M144" s="223">
        <f t="shared" si="5"/>
        <v>2032.59375</v>
      </c>
      <c r="N144" s="223">
        <f t="shared" si="6"/>
        <v>1016.296875</v>
      </c>
      <c r="O144" s="43">
        <v>1.65</v>
      </c>
      <c r="P144" s="224">
        <f>1095*0.9/1.6</f>
        <v>615.9375</v>
      </c>
      <c r="Q144" s="63"/>
      <c r="R144" s="30"/>
    </row>
    <row r="145" spans="1:18" s="43" customFormat="1" ht="15.75" hidden="1">
      <c r="A145" s="69"/>
      <c r="B145" s="52">
        <v>7</v>
      </c>
      <c r="C145" s="35" t="s">
        <v>276</v>
      </c>
      <c r="D145" s="74"/>
      <c r="E145" s="234" t="str">
        <f t="shared" si="7"/>
        <v/>
      </c>
      <c r="F145" s="35"/>
      <c r="G145" s="229" t="str">
        <f t="shared" si="4"/>
        <v/>
      </c>
      <c r="J145" s="30"/>
      <c r="K145" s="63"/>
      <c r="L145" s="63"/>
      <c r="M145" s="223">
        <f t="shared" si="5"/>
        <v>232.03125</v>
      </c>
      <c r="N145" s="223">
        <f t="shared" si="6"/>
        <v>116.015625</v>
      </c>
      <c r="O145" s="43">
        <v>1.65</v>
      </c>
      <c r="P145" s="224">
        <f>125*0.9/1.6</f>
        <v>70.3125</v>
      </c>
      <c r="Q145" s="63"/>
      <c r="R145" s="30"/>
    </row>
    <row r="146" spans="1:18" s="43" customFormat="1" ht="15.75" hidden="1">
      <c r="A146" s="69"/>
      <c r="B146" s="52">
        <v>7</v>
      </c>
      <c r="C146" s="35" t="s">
        <v>317</v>
      </c>
      <c r="D146" s="74"/>
      <c r="E146" s="234" t="str">
        <f t="shared" si="7"/>
        <v/>
      </c>
      <c r="F146" s="35"/>
      <c r="G146" s="43" t="str">
        <f t="shared" si="4"/>
        <v/>
      </c>
      <c r="J146" s="30"/>
      <c r="K146" s="63"/>
      <c r="L146" s="63"/>
      <c r="M146" s="223">
        <f t="shared" si="5"/>
        <v>1036.0465116279067</v>
      </c>
      <c r="N146" s="223">
        <f t="shared" si="6"/>
        <v>518.02325581395337</v>
      </c>
      <c r="O146" s="43">
        <v>1.65</v>
      </c>
      <c r="P146" s="224">
        <f>480/0.86*0.9/1.6</f>
        <v>313.95348837209298</v>
      </c>
      <c r="Q146" s="63"/>
      <c r="R146" s="30"/>
    </row>
    <row r="147" spans="1:18" s="43" customFormat="1" ht="15.75" hidden="1">
      <c r="A147" s="69"/>
      <c r="B147" s="52">
        <v>7</v>
      </c>
      <c r="C147" s="35" t="s">
        <v>277</v>
      </c>
      <c r="D147" s="74"/>
      <c r="E147" s="234" t="str">
        <f t="shared" si="7"/>
        <v/>
      </c>
      <c r="F147" s="35"/>
      <c r="G147" s="229" t="str">
        <f t="shared" si="4"/>
        <v/>
      </c>
      <c r="J147" s="30"/>
      <c r="K147" s="63"/>
      <c r="L147" s="63"/>
      <c r="M147" s="223">
        <f t="shared" si="5"/>
        <v>1113.75</v>
      </c>
      <c r="N147" s="223">
        <f t="shared" si="6"/>
        <v>556.875</v>
      </c>
      <c r="O147" s="43">
        <v>1.65</v>
      </c>
      <c r="P147" s="224">
        <f>600*0.9/1.6</f>
        <v>337.5</v>
      </c>
      <c r="Q147" s="63"/>
      <c r="R147" s="30"/>
    </row>
    <row r="148" spans="1:18" s="43" customFormat="1" ht="15.75" hidden="1">
      <c r="A148" s="69"/>
      <c r="B148" s="52">
        <v>7</v>
      </c>
      <c r="C148" s="35" t="s">
        <v>278</v>
      </c>
      <c r="D148" s="74"/>
      <c r="E148" s="234" t="str">
        <f t="shared" si="7"/>
        <v/>
      </c>
      <c r="F148" s="35"/>
      <c r="G148" s="229" t="str">
        <f t="shared" si="4"/>
        <v/>
      </c>
      <c r="J148" s="30"/>
      <c r="K148" s="63"/>
      <c r="L148" s="63"/>
      <c r="M148" s="223">
        <f t="shared" ref="M148:M154" si="8">N148*2</f>
        <v>556.875</v>
      </c>
      <c r="N148" s="223">
        <f t="shared" si="6"/>
        <v>278.4375</v>
      </c>
      <c r="O148" s="43">
        <v>1.65</v>
      </c>
      <c r="P148" s="224">
        <f>300*0.9/1.6</f>
        <v>168.75</v>
      </c>
      <c r="Q148" s="63"/>
      <c r="R148" s="30"/>
    </row>
    <row r="149" spans="1:18" s="43" customFormat="1" ht="15.75" hidden="1">
      <c r="A149" s="69"/>
      <c r="B149" s="52">
        <v>7</v>
      </c>
      <c r="C149" s="235" t="s">
        <v>615</v>
      </c>
      <c r="D149" s="74"/>
      <c r="E149" s="234" t="str">
        <f t="shared" si="7"/>
        <v/>
      </c>
      <c r="F149" s="35"/>
      <c r="G149" s="229" t="str">
        <f t="shared" si="4"/>
        <v/>
      </c>
      <c r="J149" s="30"/>
      <c r="K149" s="63"/>
      <c r="L149" s="63"/>
      <c r="M149" s="223">
        <f t="shared" si="8"/>
        <v>8622.9287790697672</v>
      </c>
      <c r="N149" s="223">
        <f t="shared" si="6"/>
        <v>4311.4643895348836</v>
      </c>
      <c r="O149" s="43">
        <v>1.65</v>
      </c>
      <c r="P149" s="224">
        <f>3995/0.86*0.9/1.6</f>
        <v>2613.0087209302324</v>
      </c>
      <c r="Q149" s="63"/>
      <c r="R149" s="30"/>
    </row>
    <row r="150" spans="1:18" s="43" customFormat="1" ht="15.75" hidden="1">
      <c r="A150" s="69"/>
      <c r="B150" s="52">
        <v>7</v>
      </c>
      <c r="C150" s="35" t="s">
        <v>279</v>
      </c>
      <c r="D150" s="74"/>
      <c r="E150" s="234" t="str">
        <f t="shared" si="7"/>
        <v/>
      </c>
      <c r="F150" s="35"/>
      <c r="G150" s="229" t="str">
        <f t="shared" si="4"/>
        <v/>
      </c>
      <c r="J150" s="30"/>
      <c r="K150" s="63"/>
      <c r="L150" s="63"/>
      <c r="M150" s="223">
        <f t="shared" si="8"/>
        <v>1124.8874999999998</v>
      </c>
      <c r="N150" s="223">
        <f t="shared" si="6"/>
        <v>562.44374999999991</v>
      </c>
      <c r="O150" s="43">
        <v>1.65</v>
      </c>
      <c r="P150" s="224">
        <f>606*0.9/1.6</f>
        <v>340.87499999999994</v>
      </c>
      <c r="Q150" s="63"/>
      <c r="R150" s="30"/>
    </row>
    <row r="151" spans="1:18" s="43" customFormat="1" ht="16.5" hidden="1" thickBot="1">
      <c r="A151" s="64" t="str">
        <f>IF(AM3=0,"","-")</f>
        <v/>
      </c>
      <c r="B151" s="65" t="s">
        <v>149</v>
      </c>
      <c r="C151" s="218" t="s">
        <v>280</v>
      </c>
      <c r="D151" s="66"/>
      <c r="E151" s="67"/>
      <c r="F151" s="68">
        <f>SUM(E152:E154)</f>
        <v>0</v>
      </c>
      <c r="G151" s="229"/>
      <c r="H151" s="139"/>
      <c r="J151" s="30"/>
      <c r="K151" s="63"/>
      <c r="L151" s="63"/>
      <c r="Q151" s="63"/>
      <c r="R151" s="30"/>
    </row>
    <row r="152" spans="1:18" s="43" customFormat="1" ht="45.75" hidden="1">
      <c r="A152" s="236" t="str">
        <f>IF(AND($A$71&gt;0,$C$8="TAC 32M"),1," ")</f>
        <v xml:space="preserve"> </v>
      </c>
      <c r="B152" s="52">
        <v>18</v>
      </c>
      <c r="C152" s="193" t="s">
        <v>616</v>
      </c>
      <c r="D152" s="51" t="s">
        <v>617</v>
      </c>
      <c r="E152" s="237" t="str">
        <f>IF(A152=1,(A152*M152*(1-$H$3))," ")</f>
        <v xml:space="preserve"> </v>
      </c>
      <c r="F152" s="72"/>
      <c r="G152" s="238"/>
      <c r="J152" s="30"/>
      <c r="K152" s="63"/>
      <c r="L152" s="63"/>
      <c r="M152" s="223">
        <f t="shared" si="8"/>
        <v>2557.3333333333335</v>
      </c>
      <c r="N152" s="223">
        <f>P152*O152</f>
        <v>1278.6666666666667</v>
      </c>
      <c r="O152" s="43">
        <v>1.65</v>
      </c>
      <c r="P152" s="239">
        <f>(700+($E$9+40)*14)/0.928125*0.9/1.6</f>
        <v>774.94949494949503</v>
      </c>
      <c r="Q152" s="63"/>
      <c r="R152" s="30"/>
    </row>
    <row r="153" spans="1:18" s="43" customFormat="1" ht="45.75" hidden="1">
      <c r="A153" s="236" t="str">
        <f>IF(AND($A$71&gt;0,$C$8="TAC 32"),1," ")</f>
        <v xml:space="preserve"> </v>
      </c>
      <c r="B153" s="52">
        <v>18</v>
      </c>
      <c r="C153" s="193" t="s">
        <v>618</v>
      </c>
      <c r="D153" s="51" t="s">
        <v>617</v>
      </c>
      <c r="E153" s="237" t="str">
        <f>IF(A153=1,(A153*M153*(1-$H$3))," ")</f>
        <v xml:space="preserve"> </v>
      </c>
      <c r="F153" s="72"/>
      <c r="G153" s="238"/>
      <c r="J153" s="30"/>
      <c r="K153" s="63"/>
      <c r="L153" s="63"/>
      <c r="M153" s="223">
        <f t="shared" si="8"/>
        <v>2557.3333333333335</v>
      </c>
      <c r="N153" s="223">
        <f>P153*O153</f>
        <v>1278.6666666666667</v>
      </c>
      <c r="O153" s="43">
        <v>1.65</v>
      </c>
      <c r="P153" s="239">
        <f>(700+($E$9+40)*14)/0.928125*0.9/1.6</f>
        <v>774.94949494949503</v>
      </c>
      <c r="Q153" s="63"/>
      <c r="R153" s="30"/>
    </row>
    <row r="154" spans="1:18" s="43" customFormat="1" ht="15.75" hidden="1">
      <c r="A154" s="69"/>
      <c r="B154" s="52">
        <v>18</v>
      </c>
      <c r="C154" s="35" t="s">
        <v>281</v>
      </c>
      <c r="D154" s="74"/>
      <c r="E154" s="221" t="str">
        <f>IF(ISBLANK(A154),"",(A154*M154*(1-$H$3)))</f>
        <v/>
      </c>
      <c r="F154" s="35"/>
      <c r="G154" s="229"/>
      <c r="J154" s="30"/>
      <c r="K154" s="63"/>
      <c r="L154" s="63"/>
      <c r="M154" s="223">
        <f t="shared" si="8"/>
        <v>3157.3333333333335</v>
      </c>
      <c r="N154" s="223">
        <f>P154*O154</f>
        <v>1578.6666666666667</v>
      </c>
      <c r="O154" s="43">
        <v>1.65</v>
      </c>
      <c r="P154" s="239">
        <f>(1000+($E$9+40)*14)/0.928125*0.9/1.6</f>
        <v>956.7676767676769</v>
      </c>
      <c r="Q154" s="63"/>
      <c r="R154" s="30"/>
    </row>
    <row r="155" spans="1:18" s="43" customFormat="1" ht="16.5" hidden="1" thickBot="1">
      <c r="A155" s="90" t="str">
        <f>IF(AM4=0,"","-")</f>
        <v/>
      </c>
      <c r="B155" s="90" t="s">
        <v>149</v>
      </c>
      <c r="C155" s="218" t="s">
        <v>411</v>
      </c>
      <c r="D155" s="240"/>
      <c r="E155" s="241"/>
      <c r="F155" s="68">
        <f>SUM(E156:E192)</f>
        <v>0</v>
      </c>
      <c r="H155" s="242"/>
      <c r="J155" s="30"/>
      <c r="K155" s="63"/>
      <c r="L155" s="63"/>
      <c r="Q155" s="63"/>
      <c r="R155" s="30"/>
    </row>
    <row r="156" spans="1:18" s="43" customFormat="1" ht="120" hidden="1">
      <c r="A156" s="52"/>
      <c r="B156" s="52">
        <v>17</v>
      </c>
      <c r="C156" s="30" t="s">
        <v>619</v>
      </c>
      <c r="D156" s="243">
        <f>$C$9</f>
        <v>0</v>
      </c>
      <c r="E156" s="244" t="str">
        <f>IF(ISBLANK(A156),"",(A156*M156*(1-$H$3)))</f>
        <v/>
      </c>
      <c r="F156" s="245" t="s">
        <v>620</v>
      </c>
      <c r="G156" s="246"/>
      <c r="J156" s="30"/>
      <c r="K156" s="63"/>
      <c r="L156" s="63"/>
      <c r="M156" s="247" t="e">
        <f>HLOOKUP($C$9,$U$174:$X$175,2,FALSE)</f>
        <v>#N/A</v>
      </c>
      <c r="N156" s="43" t="s">
        <v>621</v>
      </c>
      <c r="Q156" s="63"/>
      <c r="R156" s="30"/>
    </row>
    <row r="157" spans="1:18" s="43" customFormat="1" ht="15.75" hidden="1">
      <c r="A157" s="52"/>
      <c r="B157" s="52"/>
      <c r="C157" s="30"/>
      <c r="D157" s="52"/>
      <c r="E157" s="244" t="str">
        <f t="shared" ref="E157:E192" si="9">IF(ISBLANK(A157),"",(A157*M157*(1-$H$3)))</f>
        <v/>
      </c>
      <c r="F157" s="35"/>
      <c r="H157" s="242"/>
      <c r="J157" s="30"/>
      <c r="K157" s="63"/>
      <c r="L157" s="63"/>
      <c r="Q157" s="63"/>
      <c r="R157" s="30"/>
    </row>
    <row r="158" spans="1:18" s="43" customFormat="1" ht="120" hidden="1">
      <c r="A158" s="52"/>
      <c r="B158" s="52">
        <v>17</v>
      </c>
      <c r="C158" s="30" t="s">
        <v>622</v>
      </c>
      <c r="D158" s="243">
        <f>$C$9</f>
        <v>0</v>
      </c>
      <c r="E158" s="244" t="str">
        <f t="shared" si="9"/>
        <v/>
      </c>
      <c r="F158" s="248" t="s">
        <v>623</v>
      </c>
      <c r="G158" s="246"/>
      <c r="J158" s="30"/>
      <c r="K158" s="63"/>
      <c r="L158" s="63"/>
      <c r="M158" s="247" t="e">
        <f>HLOOKUP($C$9,$U$174:$X$175,2,FALSE)</f>
        <v>#N/A</v>
      </c>
      <c r="N158" s="43" t="s">
        <v>621</v>
      </c>
      <c r="Q158" s="63"/>
      <c r="R158" s="30"/>
    </row>
    <row r="159" spans="1:18" s="43" customFormat="1" ht="15.75" hidden="1">
      <c r="A159" s="52"/>
      <c r="B159" s="52"/>
      <c r="C159" s="193"/>
      <c r="D159" s="52"/>
      <c r="E159" s="244" t="str">
        <f t="shared" si="9"/>
        <v/>
      </c>
      <c r="F159" s="35"/>
      <c r="G159" s="246"/>
      <c r="H159" s="242"/>
      <c r="J159" s="30"/>
      <c r="K159" s="63"/>
      <c r="L159" s="63"/>
      <c r="Q159" s="63"/>
      <c r="R159" s="30"/>
    </row>
    <row r="160" spans="1:18" s="43" customFormat="1" ht="105" hidden="1">
      <c r="A160" s="52"/>
      <c r="B160" s="52">
        <v>17</v>
      </c>
      <c r="C160" s="30" t="s">
        <v>624</v>
      </c>
      <c r="D160" s="52"/>
      <c r="E160" s="244" t="str">
        <f t="shared" si="9"/>
        <v/>
      </c>
      <c r="F160" s="193"/>
      <c r="G160" s="246"/>
      <c r="J160" s="30"/>
      <c r="K160" s="63"/>
      <c r="L160" s="63"/>
      <c r="M160" s="223">
        <f>N160*2</f>
        <v>4073.4375</v>
      </c>
      <c r="N160" s="223">
        <f>P160*O160</f>
        <v>2036.71875</v>
      </c>
      <c r="O160" s="43">
        <v>1.65</v>
      </c>
      <c r="P160" s="247">
        <f>1975/1.6</f>
        <v>1234.375</v>
      </c>
      <c r="Q160" s="63"/>
      <c r="R160" s="30"/>
    </row>
    <row r="161" spans="1:36" s="43" customFormat="1" ht="15.75" hidden="1">
      <c r="A161" s="52"/>
      <c r="B161" s="52"/>
      <c r="C161" s="193"/>
      <c r="D161" s="52"/>
      <c r="E161" s="244" t="str">
        <f t="shared" si="9"/>
        <v/>
      </c>
      <c r="F161" s="35"/>
      <c r="H161" s="242"/>
      <c r="J161" s="30"/>
      <c r="K161" s="63"/>
      <c r="L161" s="63"/>
      <c r="Q161" s="63"/>
      <c r="R161" s="30"/>
    </row>
    <row r="162" spans="1:36" s="43" customFormat="1" ht="15.75" hidden="1">
      <c r="A162" s="52"/>
      <c r="B162" s="52">
        <v>17</v>
      </c>
      <c r="C162" s="35" t="s">
        <v>412</v>
      </c>
      <c r="D162" s="52"/>
      <c r="E162" s="244" t="str">
        <f t="shared" si="9"/>
        <v/>
      </c>
      <c r="F162" s="35"/>
      <c r="J162" s="30"/>
      <c r="K162" s="63"/>
      <c r="L162" s="63"/>
      <c r="M162" s="223">
        <f>N162*2</f>
        <v>254.30624999999998</v>
      </c>
      <c r="N162" s="223">
        <f>P162*O162</f>
        <v>127.15312499999999</v>
      </c>
      <c r="O162" s="43">
        <v>1.65</v>
      </c>
      <c r="P162" s="233">
        <f>137*0.9/1.6</f>
        <v>77.0625</v>
      </c>
      <c r="Q162" s="63"/>
      <c r="R162" s="30"/>
    </row>
    <row r="163" spans="1:36" s="43" customFormat="1" ht="15.75" hidden="1">
      <c r="A163" s="52"/>
      <c r="B163" s="52"/>
      <c r="C163" s="35"/>
      <c r="D163" s="52"/>
      <c r="E163" s="244" t="str">
        <f t="shared" si="9"/>
        <v/>
      </c>
      <c r="F163" s="35"/>
      <c r="H163" s="242"/>
      <c r="J163" s="30"/>
      <c r="K163" s="63"/>
      <c r="L163" s="63"/>
      <c r="Q163" s="63"/>
      <c r="R163" s="30"/>
    </row>
    <row r="164" spans="1:36" s="43" customFormat="1" ht="75" hidden="1">
      <c r="A164" s="52"/>
      <c r="B164" s="52">
        <v>17</v>
      </c>
      <c r="C164" s="30" t="s">
        <v>625</v>
      </c>
      <c r="D164" s="243">
        <f>$C$9</f>
        <v>0</v>
      </c>
      <c r="E164" s="244" t="str">
        <f t="shared" si="9"/>
        <v/>
      </c>
      <c r="F164" s="35"/>
      <c r="J164" s="30"/>
      <c r="K164" s="63"/>
      <c r="L164" s="63"/>
      <c r="M164" s="247" t="e">
        <f>HLOOKUP($C$9,$U$174:$X$176,3,FALSE)</f>
        <v>#N/A</v>
      </c>
      <c r="N164" s="43" t="s">
        <v>621</v>
      </c>
      <c r="Q164" s="63"/>
      <c r="R164" s="30"/>
    </row>
    <row r="165" spans="1:36" s="43" customFormat="1" ht="15.75" hidden="1">
      <c r="A165" s="52"/>
      <c r="B165" s="52"/>
      <c r="C165" s="193"/>
      <c r="D165" s="52"/>
      <c r="E165" s="244" t="str">
        <f t="shared" si="9"/>
        <v/>
      </c>
      <c r="F165" s="35"/>
      <c r="H165" s="242"/>
      <c r="J165" s="30"/>
      <c r="K165" s="63"/>
      <c r="L165" s="63"/>
      <c r="Q165" s="63"/>
      <c r="R165" s="30"/>
    </row>
    <row r="166" spans="1:36" s="43" customFormat="1" ht="15.75" hidden="1">
      <c r="A166" s="52"/>
      <c r="B166" s="52">
        <v>17</v>
      </c>
      <c r="C166" s="35" t="s">
        <v>413</v>
      </c>
      <c r="D166" s="52" t="s">
        <v>414</v>
      </c>
      <c r="E166" s="244" t="str">
        <f t="shared" si="9"/>
        <v/>
      </c>
      <c r="F166" s="35"/>
      <c r="J166" s="30"/>
      <c r="K166" s="63"/>
      <c r="L166" s="63"/>
      <c r="M166" s="223">
        <f>N166*2</f>
        <v>172.04268292682926</v>
      </c>
      <c r="N166" s="223">
        <f>P166*O166</f>
        <v>86.021341463414629</v>
      </c>
      <c r="O166" s="43">
        <v>1.65</v>
      </c>
      <c r="P166" s="233">
        <f>76/0.82*0.9/1.6</f>
        <v>52.134146341463413</v>
      </c>
      <c r="Q166" s="63"/>
      <c r="R166" s="30"/>
    </row>
    <row r="167" spans="1:36" s="43" customFormat="1" ht="15.75" hidden="1">
      <c r="A167" s="52"/>
      <c r="B167" s="52"/>
      <c r="C167" s="35"/>
      <c r="D167" s="52"/>
      <c r="E167" s="244" t="str">
        <f t="shared" si="9"/>
        <v/>
      </c>
      <c r="F167" s="35"/>
      <c r="H167" s="242"/>
      <c r="J167" s="30"/>
      <c r="K167" s="63"/>
      <c r="L167" s="63"/>
      <c r="Q167" s="63"/>
      <c r="R167" s="30"/>
    </row>
    <row r="168" spans="1:36" s="43" customFormat="1" ht="120" hidden="1">
      <c r="A168" s="52"/>
      <c r="B168" s="52">
        <v>17</v>
      </c>
      <c r="C168" s="30" t="s">
        <v>626</v>
      </c>
      <c r="D168" s="243">
        <f>$C$10</f>
        <v>0</v>
      </c>
      <c r="E168" s="244" t="str">
        <f t="shared" si="9"/>
        <v/>
      </c>
      <c r="F168" s="245" t="s">
        <v>620</v>
      </c>
      <c r="G168" s="246"/>
      <c r="J168" s="30"/>
      <c r="K168" s="63"/>
      <c r="L168" s="63"/>
      <c r="M168" s="247" t="e">
        <f>HLOOKUP($C$10,$U$174:$X$177,4,FALSE)</f>
        <v>#N/A</v>
      </c>
      <c r="N168" s="43" t="s">
        <v>621</v>
      </c>
      <c r="Q168" s="63"/>
      <c r="R168" s="30"/>
    </row>
    <row r="169" spans="1:36" s="43" customFormat="1" ht="15.75" hidden="1">
      <c r="A169" s="52"/>
      <c r="B169" s="52"/>
      <c r="C169" s="30"/>
      <c r="D169" s="52"/>
      <c r="E169" s="244" t="str">
        <f t="shared" si="9"/>
        <v/>
      </c>
      <c r="F169" s="35"/>
      <c r="H169" s="242"/>
      <c r="J169" s="30"/>
      <c r="K169" s="63"/>
      <c r="L169" s="63"/>
      <c r="Q169" s="63"/>
      <c r="R169" s="30"/>
    </row>
    <row r="170" spans="1:36" s="43" customFormat="1" ht="15.75" hidden="1">
      <c r="A170" s="52"/>
      <c r="B170" s="52">
        <v>17</v>
      </c>
      <c r="C170" s="43" t="s">
        <v>415</v>
      </c>
      <c r="D170" s="52"/>
      <c r="E170" s="244" t="str">
        <f t="shared" si="9"/>
        <v/>
      </c>
      <c r="F170" s="35"/>
      <c r="J170" s="30"/>
      <c r="K170" s="63"/>
      <c r="L170" s="63"/>
      <c r="M170" s="223">
        <f>N170*2</f>
        <v>254.30624999999998</v>
      </c>
      <c r="N170" s="223">
        <f>P170*O170</f>
        <v>127.15312499999999</v>
      </c>
      <c r="O170" s="43">
        <v>1.65</v>
      </c>
      <c r="P170" s="233">
        <f>137*0.9/1.6</f>
        <v>77.0625</v>
      </c>
      <c r="Q170" s="63"/>
      <c r="R170" s="30"/>
    </row>
    <row r="171" spans="1:36" s="43" customFormat="1" ht="15.75" hidden="1">
      <c r="A171" s="52"/>
      <c r="B171" s="52"/>
      <c r="D171" s="52"/>
      <c r="E171" s="244" t="str">
        <f t="shared" si="9"/>
        <v/>
      </c>
      <c r="F171" s="35"/>
      <c r="H171" s="242"/>
      <c r="J171" s="30"/>
      <c r="K171" s="63"/>
      <c r="L171" s="63"/>
      <c r="Q171" s="63"/>
      <c r="R171" s="30"/>
    </row>
    <row r="172" spans="1:36" s="43" customFormat="1" ht="75" hidden="1">
      <c r="A172" s="52"/>
      <c r="B172" s="52">
        <v>17</v>
      </c>
      <c r="C172" s="30" t="s">
        <v>627</v>
      </c>
      <c r="D172" s="243">
        <f>$C$10</f>
        <v>0</v>
      </c>
      <c r="E172" s="244" t="str">
        <f t="shared" si="9"/>
        <v/>
      </c>
      <c r="F172" s="35"/>
      <c r="J172" s="30"/>
      <c r="K172" s="63"/>
      <c r="L172" s="63"/>
      <c r="M172" s="247" t="e">
        <f>HLOOKUP($C$10,$U$174:$X$177,3,FALSE)</f>
        <v>#N/A</v>
      </c>
      <c r="N172" s="43" t="s">
        <v>621</v>
      </c>
      <c r="Q172" s="63"/>
      <c r="R172" s="30"/>
      <c r="AD172" s="73" t="s">
        <v>628</v>
      </c>
    </row>
    <row r="173" spans="1:36" s="43" customFormat="1" ht="15.75" hidden="1">
      <c r="A173" s="52"/>
      <c r="B173" s="52"/>
      <c r="C173" s="193"/>
      <c r="D173" s="52"/>
      <c r="E173" s="244" t="str">
        <f t="shared" si="9"/>
        <v/>
      </c>
      <c r="F173" s="35"/>
      <c r="H173" s="242"/>
      <c r="J173" s="30"/>
      <c r="K173" s="63"/>
      <c r="L173" s="63"/>
      <c r="Q173" s="63"/>
      <c r="R173" s="30"/>
      <c r="T173" s="73"/>
      <c r="U173" s="73" t="s">
        <v>629</v>
      </c>
      <c r="V173" s="73"/>
      <c r="W173" s="73"/>
      <c r="X173" s="73"/>
      <c r="AA173" s="43" t="s">
        <v>538</v>
      </c>
      <c r="AC173" s="249">
        <v>1.65</v>
      </c>
      <c r="AD173" s="250">
        <v>1.4</v>
      </c>
    </row>
    <row r="174" spans="1:36" s="43" customFormat="1" ht="15.75" hidden="1">
      <c r="A174" s="52"/>
      <c r="B174" s="52">
        <v>17</v>
      </c>
      <c r="C174" s="35" t="s">
        <v>413</v>
      </c>
      <c r="D174" s="52" t="s">
        <v>414</v>
      </c>
      <c r="E174" s="244" t="str">
        <f t="shared" si="9"/>
        <v/>
      </c>
      <c r="F174" s="35"/>
      <c r="J174" s="30"/>
      <c r="K174" s="63"/>
      <c r="L174" s="63"/>
      <c r="M174" s="223">
        <f t="shared" ref="M174:M192" si="10">N174*2</f>
        <v>172.04268292682926</v>
      </c>
      <c r="N174" s="223">
        <f>P174*O174</f>
        <v>86.021341463414629</v>
      </c>
      <c r="O174" s="43">
        <v>1.65</v>
      </c>
      <c r="P174" s="233">
        <f>76/0.82*0.9/1.6</f>
        <v>52.134146341463413</v>
      </c>
      <c r="Q174" s="63"/>
      <c r="R174" s="30"/>
      <c r="T174" s="73"/>
      <c r="U174" s="73" t="s">
        <v>524</v>
      </c>
      <c r="V174" s="73" t="s">
        <v>526</v>
      </c>
      <c r="W174" s="73" t="s">
        <v>529</v>
      </c>
      <c r="X174" s="73" t="s">
        <v>530</v>
      </c>
    </row>
    <row r="175" spans="1:36" s="43" customFormat="1" ht="15.75" hidden="1">
      <c r="A175" s="52"/>
      <c r="B175" s="52"/>
      <c r="C175" s="35"/>
      <c r="D175" s="52"/>
      <c r="E175" s="244" t="str">
        <f t="shared" si="9"/>
        <v/>
      </c>
      <c r="F175" s="35"/>
      <c r="H175" s="242"/>
      <c r="J175" s="30"/>
      <c r="K175" s="63"/>
      <c r="L175" s="63"/>
      <c r="M175" s="223"/>
      <c r="N175" s="223"/>
      <c r="Q175" s="63"/>
      <c r="R175" s="30"/>
      <c r="T175" s="73" t="s">
        <v>630</v>
      </c>
      <c r="U175" s="233">
        <f t="shared" ref="U175:X177" si="11">AA175*2</f>
        <v>3624.84375</v>
      </c>
      <c r="V175" s="233">
        <f t="shared" si="11"/>
        <v>3741.7874999999999</v>
      </c>
      <c r="W175" s="233">
        <f t="shared" si="11"/>
        <v>3741.7874999999999</v>
      </c>
      <c r="X175" s="233">
        <f t="shared" si="11"/>
        <v>4159.4437499999995</v>
      </c>
      <c r="AA175" s="233">
        <f t="shared" ref="AA175:AD177" si="12">AG175*$AC$173</f>
        <v>1812.421875</v>
      </c>
      <c r="AB175" s="233">
        <f t="shared" si="12"/>
        <v>1870.89375</v>
      </c>
      <c r="AC175" s="233">
        <f t="shared" si="12"/>
        <v>1870.89375</v>
      </c>
      <c r="AD175" s="233">
        <f t="shared" si="12"/>
        <v>2079.7218749999997</v>
      </c>
      <c r="AG175" s="233">
        <f>(1625+150)*0.9/1.6+100</f>
        <v>1098.4375</v>
      </c>
      <c r="AH175" s="233">
        <f>(1688+150)*0.9/1.6+100</f>
        <v>1133.875</v>
      </c>
      <c r="AI175" s="233">
        <f>(1688+150)*0.9/1.6+100</f>
        <v>1133.875</v>
      </c>
      <c r="AJ175" s="233">
        <f>(1688+225+150)*0.9/1.6+100</f>
        <v>1260.4375</v>
      </c>
    </row>
    <row r="176" spans="1:36" s="43" customFormat="1" ht="15.75" hidden="1">
      <c r="A176" s="52"/>
      <c r="B176" s="52">
        <v>17</v>
      </c>
      <c r="C176" s="35" t="s">
        <v>631</v>
      </c>
      <c r="D176" s="52"/>
      <c r="E176" s="244" t="str">
        <f t="shared" si="9"/>
        <v/>
      </c>
      <c r="F176" s="35"/>
      <c r="J176" s="30"/>
      <c r="K176" s="63"/>
      <c r="L176" s="63"/>
      <c r="M176" s="223">
        <f t="shared" si="10"/>
        <v>579.15</v>
      </c>
      <c r="N176" s="223">
        <f t="shared" ref="N176:N192" si="13">P176*O176</f>
        <v>289.57499999999999</v>
      </c>
      <c r="O176" s="43">
        <v>1.65</v>
      </c>
      <c r="P176" s="233">
        <f>312*0.9/1.6</f>
        <v>175.5</v>
      </c>
      <c r="Q176" s="63"/>
      <c r="R176" s="30"/>
      <c r="T176" s="73" t="s">
        <v>632</v>
      </c>
      <c r="U176" s="233">
        <f t="shared" si="11"/>
        <v>523.6</v>
      </c>
      <c r="V176" s="233">
        <f t="shared" si="11"/>
        <v>756</v>
      </c>
      <c r="W176" s="233">
        <f t="shared" si="11"/>
        <v>688.8</v>
      </c>
      <c r="X176" s="233">
        <f t="shared" si="11"/>
        <v>1291.5</v>
      </c>
      <c r="AA176" s="233">
        <f>AG176*$AD$173</f>
        <v>261.8</v>
      </c>
      <c r="AB176" s="233">
        <f>AH176*$AD$173</f>
        <v>378</v>
      </c>
      <c r="AC176" s="233">
        <f>AI176*$AD$173</f>
        <v>344.4</v>
      </c>
      <c r="AD176" s="233">
        <f>AJ176*$AD$173</f>
        <v>645.75</v>
      </c>
      <c r="AG176" s="251">
        <f>187</f>
        <v>187</v>
      </c>
      <c r="AH176" s="251">
        <f>270</f>
        <v>270</v>
      </c>
      <c r="AI176" s="251">
        <f>246</f>
        <v>246</v>
      </c>
      <c r="AJ176" s="233">
        <f>574/0.7*0.9/1.6</f>
        <v>461.25</v>
      </c>
    </row>
    <row r="177" spans="1:36" s="43" customFormat="1" ht="15.75" hidden="1">
      <c r="A177" s="52"/>
      <c r="B177" s="52">
        <v>17</v>
      </c>
      <c r="C177" s="35" t="s">
        <v>633</v>
      </c>
      <c r="D177" s="52"/>
      <c r="E177" s="244" t="str">
        <f t="shared" si="9"/>
        <v/>
      </c>
      <c r="F177" s="35"/>
      <c r="J177" s="30"/>
      <c r="K177" s="63"/>
      <c r="L177" s="63"/>
      <c r="M177" s="223">
        <f t="shared" si="10"/>
        <v>1522.125</v>
      </c>
      <c r="N177" s="223">
        <f t="shared" si="13"/>
        <v>761.0625</v>
      </c>
      <c r="O177" s="43">
        <v>1.65</v>
      </c>
      <c r="P177" s="233">
        <f>820*0.9/1.6</f>
        <v>461.25</v>
      </c>
      <c r="Q177" s="63"/>
      <c r="R177" s="30"/>
      <c r="T177" s="73" t="s">
        <v>634</v>
      </c>
      <c r="U177" s="233">
        <f t="shared" si="11"/>
        <v>3346.40625</v>
      </c>
      <c r="V177" s="233">
        <f t="shared" si="11"/>
        <v>3463.35</v>
      </c>
      <c r="W177" s="233">
        <f t="shared" si="11"/>
        <v>3463.35</v>
      </c>
      <c r="X177" s="233">
        <f t="shared" si="11"/>
        <v>3881.0062499999999</v>
      </c>
      <c r="AA177" s="233">
        <f t="shared" si="12"/>
        <v>1673.203125</v>
      </c>
      <c r="AB177" s="233">
        <f t="shared" si="12"/>
        <v>1731.675</v>
      </c>
      <c r="AC177" s="233">
        <f t="shared" si="12"/>
        <v>1731.675</v>
      </c>
      <c r="AD177" s="233">
        <f t="shared" si="12"/>
        <v>1940.503125</v>
      </c>
      <c r="AG177" s="233">
        <f>1625*0.9/1.6+100</f>
        <v>1014.0625</v>
      </c>
      <c r="AH177" s="233">
        <f>1688*0.9/1.6+100</f>
        <v>1049.5</v>
      </c>
      <c r="AI177" s="233">
        <f>1688*0.9/1.6+100</f>
        <v>1049.5</v>
      </c>
      <c r="AJ177" s="233">
        <f>(1688+225)*0.9/1.6+100</f>
        <v>1176.0625</v>
      </c>
    </row>
    <row r="178" spans="1:36" s="43" customFormat="1" ht="15.75" hidden="1">
      <c r="A178" s="52"/>
      <c r="B178" s="52">
        <v>17</v>
      </c>
      <c r="C178" s="35" t="s">
        <v>635</v>
      </c>
      <c r="D178" s="52"/>
      <c r="E178" s="244" t="str">
        <f t="shared" si="9"/>
        <v/>
      </c>
      <c r="F178" s="35"/>
      <c r="J178" s="30"/>
      <c r="K178" s="63"/>
      <c r="L178" s="63"/>
      <c r="M178" s="223">
        <f t="shared" si="10"/>
        <v>2629.6875</v>
      </c>
      <c r="N178" s="223">
        <f t="shared" si="13"/>
        <v>1314.84375</v>
      </c>
      <c r="O178" s="43">
        <v>1.65</v>
      </c>
      <c r="P178" s="233">
        <f>1275/1.6</f>
        <v>796.875</v>
      </c>
      <c r="Q178" s="63"/>
      <c r="R178" s="30"/>
      <c r="X178" s="73"/>
    </row>
    <row r="179" spans="1:36" s="43" customFormat="1" ht="30" hidden="1">
      <c r="A179" s="52"/>
      <c r="B179" s="52">
        <v>17</v>
      </c>
      <c r="C179" s="193" t="s">
        <v>636</v>
      </c>
      <c r="D179" s="51"/>
      <c r="E179" s="244" t="str">
        <f t="shared" si="9"/>
        <v/>
      </c>
      <c r="F179" s="35"/>
      <c r="J179" s="30"/>
      <c r="K179" s="63"/>
      <c r="L179" s="63"/>
      <c r="M179" s="223">
        <f t="shared" si="10"/>
        <v>3178.828125</v>
      </c>
      <c r="N179" s="223">
        <f t="shared" si="13"/>
        <v>1589.4140625</v>
      </c>
      <c r="O179" s="43">
        <v>1.65</v>
      </c>
      <c r="P179" s="233">
        <f>1250/0.8*0.9/1.6+150*0.9/1.6</f>
        <v>963.28125</v>
      </c>
      <c r="Q179" s="63"/>
      <c r="R179" s="30"/>
    </row>
    <row r="180" spans="1:36" s="43" customFormat="1" ht="15.75" hidden="1">
      <c r="A180" s="52"/>
      <c r="B180" s="52">
        <v>17</v>
      </c>
      <c r="C180" s="193" t="s">
        <v>637</v>
      </c>
      <c r="D180" s="51"/>
      <c r="E180" s="244" t="str">
        <f t="shared" si="9"/>
        <v/>
      </c>
      <c r="F180" s="35"/>
      <c r="J180" s="30"/>
      <c r="K180" s="63"/>
      <c r="L180" s="63"/>
      <c r="M180" s="223">
        <f t="shared" si="10"/>
        <v>3298.0813953488368</v>
      </c>
      <c r="N180" s="223">
        <f t="shared" si="13"/>
        <v>1649.0406976744184</v>
      </c>
      <c r="O180" s="43">
        <v>1.65</v>
      </c>
      <c r="P180" s="233">
        <f>1399/0.86*0.9/1.6+150*0.9/1.6</f>
        <v>999.4186046511627</v>
      </c>
      <c r="Q180" s="63"/>
      <c r="R180" s="30"/>
    </row>
    <row r="181" spans="1:36" s="43" customFormat="1" ht="30" hidden="1">
      <c r="A181" s="52"/>
      <c r="B181" s="52">
        <v>17</v>
      </c>
      <c r="C181" s="30" t="s">
        <v>638</v>
      </c>
      <c r="D181" s="51"/>
      <c r="E181" s="244" t="str">
        <f t="shared" si="9"/>
        <v/>
      </c>
      <c r="F181" s="35"/>
      <c r="J181" s="30"/>
      <c r="K181" s="63"/>
      <c r="L181" s="63"/>
      <c r="M181" s="223">
        <f t="shared" si="10"/>
        <v>3080</v>
      </c>
      <c r="N181" s="223">
        <f t="shared" si="13"/>
        <v>1540</v>
      </c>
      <c r="O181" s="43">
        <v>1.4</v>
      </c>
      <c r="P181" s="252">
        <v>1100</v>
      </c>
      <c r="Q181" s="63"/>
      <c r="R181" s="30"/>
    </row>
    <row r="182" spans="1:36" s="43" customFormat="1" ht="15.75" hidden="1">
      <c r="A182" s="52"/>
      <c r="B182" s="52">
        <v>17</v>
      </c>
      <c r="C182" s="35" t="s">
        <v>416</v>
      </c>
      <c r="D182" s="52"/>
      <c r="E182" s="244" t="str">
        <f t="shared" si="9"/>
        <v/>
      </c>
      <c r="F182" s="35" t="s">
        <v>417</v>
      </c>
      <c r="J182" s="30"/>
      <c r="K182" s="63"/>
      <c r="L182" s="63"/>
      <c r="M182" s="223">
        <f t="shared" si="10"/>
        <v>1440.4499999999998</v>
      </c>
      <c r="N182" s="223">
        <f t="shared" si="13"/>
        <v>720.22499999999991</v>
      </c>
      <c r="O182" s="43">
        <v>1.65</v>
      </c>
      <c r="P182" s="233">
        <f>776*0.9/1.6</f>
        <v>436.49999999999994</v>
      </c>
      <c r="Q182" s="63"/>
      <c r="R182" s="30"/>
    </row>
    <row r="183" spans="1:36" s="43" customFormat="1" ht="15.75" hidden="1">
      <c r="A183" s="52"/>
      <c r="B183" s="52">
        <v>17</v>
      </c>
      <c r="C183" s="35" t="s">
        <v>639</v>
      </c>
      <c r="D183" s="52"/>
      <c r="E183" s="244" t="str">
        <f t="shared" si="9"/>
        <v/>
      </c>
      <c r="F183" s="35"/>
      <c r="J183" s="30"/>
      <c r="K183" s="63"/>
      <c r="L183" s="63"/>
      <c r="M183" s="223">
        <f t="shared" si="10"/>
        <v>51.974999999999994</v>
      </c>
      <c r="N183" s="223">
        <f t="shared" si="13"/>
        <v>25.987499999999997</v>
      </c>
      <c r="O183" s="43">
        <v>1.65</v>
      </c>
      <c r="P183" s="233">
        <f>28*0.9/1.6+($E$7*49)*0.9/1.6</f>
        <v>15.749999999999998</v>
      </c>
      <c r="Q183" s="63"/>
      <c r="R183" s="30"/>
    </row>
    <row r="184" spans="1:36" s="43" customFormat="1" ht="15.75" hidden="1">
      <c r="A184" s="52"/>
      <c r="B184" s="52">
        <v>17</v>
      </c>
      <c r="C184" s="35" t="s">
        <v>640</v>
      </c>
      <c r="D184" s="52"/>
      <c r="E184" s="244" t="str">
        <f t="shared" si="9"/>
        <v/>
      </c>
      <c r="F184" s="35"/>
      <c r="J184" s="30"/>
      <c r="K184" s="63"/>
      <c r="L184" s="63"/>
      <c r="M184" s="223">
        <f t="shared" si="10"/>
        <v>51.974999999999994</v>
      </c>
      <c r="N184" s="223">
        <f t="shared" si="13"/>
        <v>25.987499999999997</v>
      </c>
      <c r="O184" s="43">
        <v>1.65</v>
      </c>
      <c r="P184" s="233">
        <f>28*0.9/1.6+($E$8*49)*0.9/1.6</f>
        <v>15.749999999999998</v>
      </c>
      <c r="Q184" s="63"/>
      <c r="R184" s="30"/>
    </row>
    <row r="185" spans="1:36" s="43" customFormat="1" ht="15.75" hidden="1">
      <c r="A185" s="52"/>
      <c r="B185" s="52">
        <v>17</v>
      </c>
      <c r="C185" s="35" t="s">
        <v>418</v>
      </c>
      <c r="D185" s="52"/>
      <c r="E185" s="244" t="str">
        <f t="shared" si="9"/>
        <v/>
      </c>
      <c r="F185" s="35"/>
      <c r="J185" s="30"/>
      <c r="K185" s="63"/>
      <c r="L185" s="63"/>
      <c r="M185" s="223">
        <f t="shared" si="10"/>
        <v>553.16249999999991</v>
      </c>
      <c r="N185" s="223">
        <f t="shared" si="13"/>
        <v>276.58124999999995</v>
      </c>
      <c r="O185" s="43">
        <v>1.65</v>
      </c>
      <c r="P185" s="233">
        <f>298*0.9/1.6</f>
        <v>167.62499999999997</v>
      </c>
      <c r="Q185" s="63"/>
      <c r="R185" s="30"/>
    </row>
    <row r="186" spans="1:36" s="43" customFormat="1" ht="15.75" hidden="1">
      <c r="A186" s="52"/>
      <c r="B186" s="52">
        <v>17</v>
      </c>
      <c r="C186" s="35" t="s">
        <v>419</v>
      </c>
      <c r="D186" s="52"/>
      <c r="E186" s="244" t="str">
        <f t="shared" si="9"/>
        <v/>
      </c>
      <c r="F186" s="35"/>
      <c r="J186" s="30"/>
      <c r="K186" s="63"/>
      <c r="L186" s="63"/>
      <c r="M186" s="223">
        <f t="shared" si="10"/>
        <v>64.96875</v>
      </c>
      <c r="N186" s="223">
        <f t="shared" si="13"/>
        <v>32.484375</v>
      </c>
      <c r="O186" s="43">
        <v>1.65</v>
      </c>
      <c r="P186" s="233">
        <f>28/0.8*0.9/1.6</f>
        <v>19.6875</v>
      </c>
      <c r="Q186" s="63"/>
      <c r="R186" s="30"/>
    </row>
    <row r="187" spans="1:36" s="43" customFormat="1" ht="15.75" hidden="1">
      <c r="A187" s="52"/>
      <c r="B187" s="52">
        <v>17</v>
      </c>
      <c r="C187" s="35" t="s">
        <v>420</v>
      </c>
      <c r="D187" s="52"/>
      <c r="E187" s="244" t="str">
        <f t="shared" si="9"/>
        <v/>
      </c>
      <c r="F187" s="35"/>
      <c r="J187" s="30"/>
      <c r="K187" s="63"/>
      <c r="L187" s="63"/>
      <c r="M187" s="223">
        <f t="shared" si="10"/>
        <v>274.72499999999997</v>
      </c>
      <c r="N187" s="223">
        <f t="shared" si="13"/>
        <v>137.36249999999998</v>
      </c>
      <c r="O187" s="43">
        <v>1.65</v>
      </c>
      <c r="P187" s="233">
        <f>37*4*0.9/1.6</f>
        <v>83.25</v>
      </c>
      <c r="Q187" s="63"/>
      <c r="R187" s="30"/>
    </row>
    <row r="188" spans="1:36" s="43" customFormat="1" ht="15.75" hidden="1">
      <c r="A188" s="52"/>
      <c r="B188" s="52">
        <v>17</v>
      </c>
      <c r="C188" s="35" t="s">
        <v>421</v>
      </c>
      <c r="D188" s="52"/>
      <c r="E188" s="244" t="str">
        <f t="shared" si="9"/>
        <v/>
      </c>
      <c r="F188" s="35"/>
      <c r="J188" s="30"/>
      <c r="K188" s="63"/>
      <c r="L188" s="63"/>
      <c r="M188" s="223">
        <f t="shared" si="10"/>
        <v>137.36249999999998</v>
      </c>
      <c r="N188" s="223">
        <f t="shared" si="13"/>
        <v>68.681249999999991</v>
      </c>
      <c r="O188" s="43">
        <v>1.65</v>
      </c>
      <c r="P188" s="233">
        <f>37*2*0.9/1.6</f>
        <v>41.625</v>
      </c>
      <c r="Q188" s="63"/>
      <c r="R188" s="30"/>
    </row>
    <row r="189" spans="1:36" s="43" customFormat="1" ht="30" hidden="1">
      <c r="A189" s="52"/>
      <c r="B189" s="52">
        <v>17</v>
      </c>
      <c r="C189" s="193" t="s">
        <v>422</v>
      </c>
      <c r="D189" s="52"/>
      <c r="E189" s="244" t="str">
        <f t="shared" si="9"/>
        <v/>
      </c>
      <c r="F189" s="35"/>
      <c r="J189" s="30"/>
      <c r="K189" s="63"/>
      <c r="L189" s="63"/>
      <c r="M189" s="223">
        <f t="shared" si="10"/>
        <v>228.31874999999999</v>
      </c>
      <c r="N189" s="223">
        <f t="shared" si="13"/>
        <v>114.159375</v>
      </c>
      <c r="O189" s="43">
        <v>1.65</v>
      </c>
      <c r="P189" s="233">
        <f>(56+32+35)*0.9/1.6</f>
        <v>69.1875</v>
      </c>
      <c r="Q189" s="63"/>
      <c r="R189" s="30"/>
    </row>
    <row r="190" spans="1:36" s="43" customFormat="1" ht="15.75" hidden="1">
      <c r="A190" s="52"/>
      <c r="B190" s="52">
        <v>17</v>
      </c>
      <c r="C190" s="35" t="s">
        <v>641</v>
      </c>
      <c r="D190" s="52"/>
      <c r="E190" s="244" t="str">
        <f t="shared" si="9"/>
        <v/>
      </c>
      <c r="F190" s="35"/>
      <c r="J190" s="30"/>
      <c r="K190" s="63"/>
      <c r="L190" s="63"/>
      <c r="M190" s="223">
        <f t="shared" si="10"/>
        <v>168.91874999999999</v>
      </c>
      <c r="N190" s="223">
        <f t="shared" si="13"/>
        <v>84.459374999999994</v>
      </c>
      <c r="O190" s="43">
        <v>1.65</v>
      </c>
      <c r="P190" s="233">
        <f>(56+35)*0.9/1.6</f>
        <v>51.1875</v>
      </c>
      <c r="Q190" s="63"/>
      <c r="R190" s="30"/>
    </row>
    <row r="191" spans="1:36" s="43" customFormat="1" ht="30" hidden="1">
      <c r="A191" s="52"/>
      <c r="B191" s="52">
        <v>17</v>
      </c>
      <c r="C191" s="193" t="s">
        <v>423</v>
      </c>
      <c r="D191" s="52"/>
      <c r="E191" s="244" t="str">
        <f t="shared" si="9"/>
        <v/>
      </c>
      <c r="F191" s="35"/>
      <c r="J191" s="30"/>
      <c r="K191" s="63"/>
      <c r="L191" s="63"/>
      <c r="M191" s="223">
        <f t="shared" si="10"/>
        <v>168.91874999999999</v>
      </c>
      <c r="N191" s="223">
        <f t="shared" si="13"/>
        <v>84.459374999999994</v>
      </c>
      <c r="O191" s="43">
        <v>1.65</v>
      </c>
      <c r="P191" s="233">
        <f>(56+35)*0.9/1.6</f>
        <v>51.1875</v>
      </c>
      <c r="Q191" s="63"/>
      <c r="R191" s="30"/>
    </row>
    <row r="192" spans="1:36" s="43" customFormat="1" ht="15.75" hidden="1">
      <c r="A192" s="52"/>
      <c r="B192" s="52">
        <v>17</v>
      </c>
      <c r="C192" s="35" t="s">
        <v>642</v>
      </c>
      <c r="D192" s="52"/>
      <c r="E192" s="244" t="str">
        <f t="shared" si="9"/>
        <v/>
      </c>
      <c r="F192" s="35"/>
      <c r="G192" s="253"/>
      <c r="J192" s="30"/>
      <c r="K192" s="63"/>
      <c r="L192" s="63"/>
      <c r="M192" s="223">
        <f t="shared" si="10"/>
        <v>207.2093023255814</v>
      </c>
      <c r="N192" s="223">
        <f t="shared" si="13"/>
        <v>103.6046511627907</v>
      </c>
      <c r="O192" s="43">
        <v>1.65</v>
      </c>
      <c r="P192" s="233">
        <f>48*2/0.86*0.9/1.6</f>
        <v>62.79069767441861</v>
      </c>
      <c r="Q192" s="63"/>
      <c r="R192" s="30"/>
    </row>
    <row r="193" spans="1:42" s="43" customFormat="1" ht="16.5" hidden="1" thickBot="1">
      <c r="A193" s="90" t="str">
        <f>IF(AM5=0,"","-")</f>
        <v/>
      </c>
      <c r="B193" s="90" t="s">
        <v>149</v>
      </c>
      <c r="C193" s="218" t="s">
        <v>643</v>
      </c>
      <c r="D193" s="240"/>
      <c r="E193" s="254"/>
      <c r="F193" s="68">
        <f>SUM(E194:E396)</f>
        <v>0</v>
      </c>
      <c r="G193" s="253"/>
      <c r="H193" s="242"/>
      <c r="J193" s="73"/>
      <c r="K193" s="63"/>
      <c r="L193" s="63"/>
      <c r="Q193" s="63"/>
      <c r="R193" s="30"/>
    </row>
    <row r="194" spans="1:42" s="43" customFormat="1" ht="15.75" hidden="1">
      <c r="A194" s="52"/>
      <c r="B194" s="52">
        <v>14</v>
      </c>
      <c r="C194" s="235" t="s">
        <v>644</v>
      </c>
      <c r="D194" s="52"/>
      <c r="E194" s="255" t="str">
        <f>IF(ISBLANK(A194),"",SUM(G195:G203)+SUM(G286:G387))</f>
        <v/>
      </c>
      <c r="F194" s="35" t="s">
        <v>645</v>
      </c>
      <c r="G194" s="256"/>
      <c r="J194" s="73"/>
      <c r="K194" s="63"/>
      <c r="L194" s="63"/>
      <c r="Q194" s="63"/>
      <c r="R194" s="30"/>
    </row>
    <row r="195" spans="1:42" s="43" customFormat="1" ht="15.75" hidden="1">
      <c r="A195" s="257" t="str">
        <f>IF(ISBLANK(A194),"","-")</f>
        <v/>
      </c>
      <c r="B195" s="52">
        <v>14</v>
      </c>
      <c r="C195" s="231" t="s">
        <v>646</v>
      </c>
      <c r="D195" s="52" t="s">
        <v>270</v>
      </c>
      <c r="E195" s="255"/>
      <c r="F195" s="35"/>
      <c r="G195" s="258" t="str">
        <f>IF(A195="","",(M195*(1-$H$3)))</f>
        <v/>
      </c>
      <c r="J195" s="73"/>
      <c r="K195" s="63"/>
      <c r="L195" s="63"/>
      <c r="M195" s="223">
        <f t="shared" ref="M195:M203" si="14">N195*2</f>
        <v>5696.5596036585357</v>
      </c>
      <c r="N195" s="223">
        <f>P195*O195</f>
        <v>2848.2798018292679</v>
      </c>
      <c r="O195" s="43">
        <v>1.65</v>
      </c>
      <c r="P195" s="233">
        <f>(1469+(($G$12-22)*121)+300/0.82+750)*0.9/1.6</f>
        <v>1726.2301829268292</v>
      </c>
      <c r="Q195" s="63"/>
      <c r="R195" s="30"/>
      <c r="S195" s="73" t="s">
        <v>537</v>
      </c>
      <c r="T195" s="73" t="s">
        <v>647</v>
      </c>
      <c r="U195" s="73"/>
      <c r="V195" s="73"/>
      <c r="W195" s="73"/>
      <c r="X195" s="73"/>
      <c r="Y195" s="73"/>
      <c r="Z195" s="73"/>
      <c r="AA195" s="73"/>
      <c r="AB195" s="73"/>
      <c r="AG195" s="43" t="s">
        <v>538</v>
      </c>
      <c r="AI195" s="249">
        <v>1.65</v>
      </c>
      <c r="AM195" s="43" t="s">
        <v>540</v>
      </c>
    </row>
    <row r="196" spans="1:42" s="43" customFormat="1" ht="15.75" hidden="1">
      <c r="A196" s="259" t="str">
        <f t="shared" ref="A196:A203" si="15">A195</f>
        <v/>
      </c>
      <c r="B196" s="52">
        <v>14</v>
      </c>
      <c r="C196" s="35" t="str">
        <f>IF(SUM($A$325:$A$328)&gt;0,"- See Optional Ceiling selected below","- Ceiling:  Suspended with #4 S/S frame")</f>
        <v>- Ceiling:  Suspended with #4 S/S frame</v>
      </c>
      <c r="D196" s="52" t="s">
        <v>270</v>
      </c>
      <c r="E196" s="77"/>
      <c r="F196" s="35"/>
      <c r="G196" s="258" t="str">
        <f t="shared" ref="G196:G203" si="16">IF(A196="","",(M196*(1-$H$3)))</f>
        <v/>
      </c>
      <c r="J196" s="73"/>
      <c r="K196" s="63"/>
      <c r="L196" s="63"/>
      <c r="M196" s="223">
        <f t="shared" si="14"/>
        <v>1799.3744999999999</v>
      </c>
      <c r="N196" s="223">
        <f t="shared" ref="N196:N203" si="17">P196*O196</f>
        <v>899.68724999999995</v>
      </c>
      <c r="O196" s="43">
        <v>1.65</v>
      </c>
      <c r="P196" s="233">
        <f>IF(SUM($A$325:$A$328)&gt;0,0,969.36*0.9/1.6)</f>
        <v>545.26499999999999</v>
      </c>
      <c r="Q196" s="63"/>
      <c r="R196" s="30"/>
      <c r="S196" s="73" t="s">
        <v>648</v>
      </c>
      <c r="T196" s="73" t="s">
        <v>524</v>
      </c>
      <c r="U196" s="73" t="s">
        <v>526</v>
      </c>
      <c r="V196" s="73" t="s">
        <v>529</v>
      </c>
      <c r="W196" s="73" t="s">
        <v>530</v>
      </c>
      <c r="X196" s="73"/>
      <c r="Y196" s="73"/>
      <c r="Z196" s="73"/>
      <c r="AA196" s="73" t="s">
        <v>649</v>
      </c>
      <c r="AB196" s="73"/>
    </row>
    <row r="197" spans="1:42" s="43" customFormat="1" ht="18" hidden="1" customHeight="1">
      <c r="A197" s="259" t="str">
        <f t="shared" si="15"/>
        <v/>
      </c>
      <c r="B197" s="52">
        <v>14</v>
      </c>
      <c r="C197" s="35" t="str">
        <f>IF(SUM($A$330:$A$337)&gt;0,"- See Optional Fronts selected below","- Fronts:  Swing Returns in #4 S/S")</f>
        <v>- Fronts:  Swing Returns in #4 S/S</v>
      </c>
      <c r="D197" s="52" t="s">
        <v>270</v>
      </c>
      <c r="E197" s="77"/>
      <c r="F197" s="35"/>
      <c r="G197" s="258" t="str">
        <f t="shared" si="16"/>
        <v/>
      </c>
      <c r="J197" s="73"/>
      <c r="K197" s="63"/>
      <c r="L197" s="63"/>
      <c r="M197" s="223">
        <f t="shared" si="14"/>
        <v>1652.8049999999998</v>
      </c>
      <c r="N197" s="223">
        <f t="shared" si="17"/>
        <v>826.40249999999992</v>
      </c>
      <c r="O197" s="43">
        <v>1.65</v>
      </c>
      <c r="P197" s="233">
        <f>IF(SUM($A$330:$A$337)&gt;0,0,890.4*0.9/1.6)</f>
        <v>500.84999999999997</v>
      </c>
      <c r="Q197" s="63"/>
      <c r="R197" s="30"/>
      <c r="S197" s="52" t="s">
        <v>396</v>
      </c>
      <c r="T197" s="239">
        <f t="shared" ref="T197:W207" si="18">AG197*2</f>
        <v>504.34312499999993</v>
      </c>
      <c r="U197" s="239">
        <f t="shared" si="18"/>
        <v>941.11874999999998</v>
      </c>
      <c r="V197" s="239">
        <f t="shared" si="18"/>
        <v>1047.2962499999999</v>
      </c>
      <c r="W197" s="239">
        <f t="shared" si="18"/>
        <v>1872.585</v>
      </c>
      <c r="X197" s="73"/>
      <c r="Y197" s="73"/>
      <c r="Z197" s="73"/>
      <c r="AA197" s="52" t="s">
        <v>396</v>
      </c>
      <c r="AB197" s="73">
        <v>1</v>
      </c>
      <c r="AC197" s="73"/>
      <c r="AD197" s="73"/>
      <c r="AE197" s="73"/>
      <c r="AG197" s="239">
        <f t="shared" ref="AG197:AJ207" si="19">AM197*$AI$195</f>
        <v>252.17156249999996</v>
      </c>
      <c r="AH197" s="239">
        <f t="shared" si="19"/>
        <v>470.55937499999999</v>
      </c>
      <c r="AI197" s="239">
        <f t="shared" si="19"/>
        <v>523.64812499999994</v>
      </c>
      <c r="AJ197" s="239">
        <f t="shared" si="19"/>
        <v>936.29250000000002</v>
      </c>
      <c r="AM197" s="239">
        <f>209*1.3*0.9/1.6</f>
        <v>152.83124999999998</v>
      </c>
      <c r="AN197" s="239">
        <f>390*1.3*0.9/1.6</f>
        <v>285.1875</v>
      </c>
      <c r="AO197" s="239">
        <f>434*1.3*0.9/1.6</f>
        <v>317.36250000000001</v>
      </c>
      <c r="AP197" s="239">
        <f>776*1.3*0.9/1.6</f>
        <v>567.45000000000005</v>
      </c>
    </row>
    <row r="198" spans="1:42" s="43" customFormat="1" ht="15.75" hidden="1">
      <c r="A198" s="259" t="str">
        <f t="shared" si="15"/>
        <v/>
      </c>
      <c r="B198" s="52">
        <v>14</v>
      </c>
      <c r="C198" s="35" t="str">
        <f>IF(SUM($A$340:$A$361)&gt;0,"- See Optional Handrail(s) selected below","- Handrail: Cylindrical 1 1/2'' Continuous #4 S/S (single back wall)")</f>
        <v>- Handrail: Cylindrical 1 1/2'' Continuous #4 S/S (single back wall)</v>
      </c>
      <c r="D198" s="52" t="s">
        <v>270</v>
      </c>
      <c r="E198" s="77"/>
      <c r="F198" s="35"/>
      <c r="G198" s="258" t="str">
        <f t="shared" si="16"/>
        <v/>
      </c>
      <c r="J198" s="73"/>
      <c r="K198" s="63"/>
      <c r="L198" s="63"/>
      <c r="M198" s="223">
        <f t="shared" si="14"/>
        <v>303.33841463414632</v>
      </c>
      <c r="N198" s="223">
        <f t="shared" si="17"/>
        <v>151.66920731707316</v>
      </c>
      <c r="O198" s="43">
        <v>1.65</v>
      </c>
      <c r="P198" s="233">
        <f>IF(SUM($A$340:$A$361)&gt;0,0,134/0.82*0.9/1.6)</f>
        <v>91.920731707317074</v>
      </c>
      <c r="Q198" s="63"/>
      <c r="R198" s="30"/>
      <c r="S198" s="52" t="s">
        <v>397</v>
      </c>
      <c r="T198" s="239">
        <f t="shared" si="18"/>
        <v>796.33124999999995</v>
      </c>
      <c r="U198" s="239">
        <f t="shared" si="18"/>
        <v>1535.35078125</v>
      </c>
      <c r="V198" s="239">
        <f t="shared" si="18"/>
        <v>1637.9085937499999</v>
      </c>
      <c r="W198" s="239">
        <f t="shared" si="18"/>
        <v>3073.7179687499997</v>
      </c>
      <c r="X198" s="73"/>
      <c r="Y198" s="73"/>
      <c r="Z198" s="73"/>
      <c r="AA198" s="52" t="s">
        <v>397</v>
      </c>
      <c r="AB198" s="73">
        <v>2</v>
      </c>
      <c r="AC198" s="73"/>
      <c r="AD198" s="73"/>
      <c r="AE198" s="73"/>
      <c r="AG198" s="239">
        <f t="shared" si="19"/>
        <v>398.16562499999998</v>
      </c>
      <c r="AH198" s="239">
        <f t="shared" si="19"/>
        <v>767.67539062499998</v>
      </c>
      <c r="AI198" s="239">
        <f t="shared" si="19"/>
        <v>818.95429687499995</v>
      </c>
      <c r="AJ198" s="239">
        <f t="shared" si="19"/>
        <v>1536.8589843749999</v>
      </c>
      <c r="AM198" s="239">
        <f>330*1.3*0.9/1.6</f>
        <v>241.3125</v>
      </c>
      <c r="AN198" s="239">
        <f>509/0.8*1.3*0.9/1.6</f>
        <v>465.2578125</v>
      </c>
      <c r="AO198" s="239">
        <f>543/0.8*1.3*0.9/1.6</f>
        <v>496.3359375</v>
      </c>
      <c r="AP198" s="239">
        <f>1019/0.8*1.3*0.9/1.6</f>
        <v>931.4296875</v>
      </c>
    </row>
    <row r="199" spans="1:42" s="43" customFormat="1" ht="15.75" hidden="1">
      <c r="A199" s="259" t="str">
        <f t="shared" si="15"/>
        <v/>
      </c>
      <c r="B199" s="52">
        <v>14</v>
      </c>
      <c r="C199" s="35" t="str">
        <f>IF(SUM($A$381)&gt;0,"- See Optional Front Car Door selected below","- Front Car Door ("&amp;$C$9&amp;") Powder Coated")</f>
        <v>- Front Car Door () Powder Coated</v>
      </c>
      <c r="D199" s="52" t="s">
        <v>270</v>
      </c>
      <c r="E199" s="73"/>
      <c r="F199" s="35"/>
      <c r="G199" s="258" t="str">
        <f t="shared" si="16"/>
        <v/>
      </c>
      <c r="J199" s="73"/>
      <c r="K199" s="63"/>
      <c r="L199" s="63"/>
      <c r="M199" s="247" t="e">
        <f>IF(SUM($A$381)&gt;0,0,HLOOKUP($C$9,$T$196:$W$207,2,FALSE))</f>
        <v>#N/A</v>
      </c>
      <c r="N199" s="43" t="s">
        <v>650</v>
      </c>
      <c r="Q199" s="63"/>
      <c r="R199" s="30"/>
      <c r="S199" s="52" t="s">
        <v>309</v>
      </c>
      <c r="T199" s="239">
        <f t="shared" si="18"/>
        <v>1107.6243749999999</v>
      </c>
      <c r="U199" s="239">
        <f t="shared" si="18"/>
        <v>1631.2725</v>
      </c>
      <c r="V199" s="239">
        <f t="shared" si="18"/>
        <v>1737.4499999999998</v>
      </c>
      <c r="W199" s="239">
        <f t="shared" si="18"/>
        <v>2736.4837499999999</v>
      </c>
      <c r="X199" s="73"/>
      <c r="Y199" s="73"/>
      <c r="Z199" s="73"/>
      <c r="AA199" s="52" t="s">
        <v>309</v>
      </c>
      <c r="AB199" s="73">
        <v>3</v>
      </c>
      <c r="AC199" s="73"/>
      <c r="AD199" s="73" t="s">
        <v>524</v>
      </c>
      <c r="AE199" s="73">
        <v>1</v>
      </c>
      <c r="AG199" s="239">
        <f t="shared" si="19"/>
        <v>553.81218749999994</v>
      </c>
      <c r="AH199" s="239">
        <f t="shared" si="19"/>
        <v>815.63625000000002</v>
      </c>
      <c r="AI199" s="239">
        <f t="shared" si="19"/>
        <v>868.72499999999991</v>
      </c>
      <c r="AJ199" s="239">
        <f t="shared" si="19"/>
        <v>1368.2418749999999</v>
      </c>
      <c r="AM199" s="239">
        <f>459*1.3*0.9/1.6</f>
        <v>335.64375000000001</v>
      </c>
      <c r="AN199" s="239">
        <f>676*1.3*0.9/1.6</f>
        <v>494.32500000000005</v>
      </c>
      <c r="AO199" s="239">
        <f>720*1.3*0.9/1.6</f>
        <v>526.5</v>
      </c>
      <c r="AP199" s="239">
        <f>1134*1.3*0.9/1.6</f>
        <v>829.23749999999995</v>
      </c>
    </row>
    <row r="200" spans="1:42" s="43" customFormat="1" ht="15.75" hidden="1">
      <c r="A200" s="259" t="str">
        <f t="shared" si="15"/>
        <v/>
      </c>
      <c r="B200" s="52">
        <v>14</v>
      </c>
      <c r="C200" s="35" t="str">
        <f>IF(SUM($A$363)&gt;0,"- See Optional Front Car Sill selected below","- Front Car Sill ("&amp;$C$9&amp;") Aluminum")</f>
        <v>- Front Car Sill () Aluminum</v>
      </c>
      <c r="D200" s="52" t="s">
        <v>270</v>
      </c>
      <c r="E200" s="77"/>
      <c r="F200" s="35"/>
      <c r="G200" s="258" t="str">
        <f t="shared" si="16"/>
        <v/>
      </c>
      <c r="J200" s="73"/>
      <c r="K200" s="63"/>
      <c r="L200" s="63"/>
      <c r="M200" s="247" t="e">
        <f>IF(SUM($A$363)&gt;0,0,HLOOKUP($C$9,$T$210:$W$213,2,FALSE))</f>
        <v>#N/A</v>
      </c>
      <c r="N200" s="43" t="s">
        <v>651</v>
      </c>
      <c r="Q200" s="63"/>
      <c r="R200" s="30"/>
      <c r="S200" s="88" t="s">
        <v>398</v>
      </c>
      <c r="T200" s="239">
        <f t="shared" si="18"/>
        <v>1661.4365625</v>
      </c>
      <c r="U200" s="239">
        <f t="shared" si="18"/>
        <v>2446.9087500000001</v>
      </c>
      <c r="V200" s="239">
        <f t="shared" si="18"/>
        <v>2606.1749999999997</v>
      </c>
      <c r="W200" s="239">
        <f t="shared" si="18"/>
        <v>4104.7256249999991</v>
      </c>
      <c r="X200" s="73"/>
      <c r="Y200" s="73"/>
      <c r="Z200" s="73"/>
      <c r="AA200" s="88" t="s">
        <v>398</v>
      </c>
      <c r="AB200" s="73">
        <v>4</v>
      </c>
      <c r="AC200" s="73"/>
      <c r="AD200" s="73" t="s">
        <v>526</v>
      </c>
      <c r="AE200" s="73">
        <v>2</v>
      </c>
      <c r="AG200" s="239">
        <f t="shared" si="19"/>
        <v>830.71828125000002</v>
      </c>
      <c r="AH200" s="239">
        <f t="shared" si="19"/>
        <v>1223.454375</v>
      </c>
      <c r="AI200" s="239">
        <f t="shared" si="19"/>
        <v>1303.0874999999999</v>
      </c>
      <c r="AJ200" s="239">
        <f t="shared" si="19"/>
        <v>2052.3628124999996</v>
      </c>
      <c r="AM200" s="239">
        <f>AM199*1.5</f>
        <v>503.46562500000005</v>
      </c>
      <c r="AN200" s="239">
        <f>AN199*1.5</f>
        <v>741.48750000000007</v>
      </c>
      <c r="AO200" s="239">
        <f>AO199*1.5</f>
        <v>789.75</v>
      </c>
      <c r="AP200" s="239">
        <f>AP199*1.5</f>
        <v>1243.8562499999998</v>
      </c>
    </row>
    <row r="201" spans="1:42" s="43" customFormat="1" ht="15.75" hidden="1">
      <c r="A201" s="259" t="str">
        <f t="shared" si="15"/>
        <v/>
      </c>
      <c r="B201" s="52">
        <v>14</v>
      </c>
      <c r="C201" s="35" t="str">
        <f>IF(SUM($A$369:$A$372)&gt;0,"- See Optional Fan selected below","- Fan:  Two Speed")</f>
        <v>- Fan:  Two Speed</v>
      </c>
      <c r="D201" s="52" t="s">
        <v>270</v>
      </c>
      <c r="E201" s="77"/>
      <c r="F201" s="35"/>
      <c r="G201" s="258" t="str">
        <f t="shared" si="16"/>
        <v/>
      </c>
      <c r="J201" s="73"/>
      <c r="K201" s="63"/>
      <c r="L201" s="63"/>
      <c r="M201" s="223">
        <f t="shared" si="14"/>
        <v>246.36149999999998</v>
      </c>
      <c r="N201" s="223">
        <f t="shared" si="17"/>
        <v>123.18074999999999</v>
      </c>
      <c r="O201" s="43">
        <v>1.65</v>
      </c>
      <c r="P201" s="233">
        <f>IF(SUM($A$369:$A$372)&gt;0,0,132.72*0.9/1.6)</f>
        <v>74.655000000000001</v>
      </c>
      <c r="Q201" s="63"/>
      <c r="R201" s="30"/>
      <c r="S201" s="52" t="s">
        <v>310</v>
      </c>
      <c r="T201" s="239">
        <f t="shared" si="18"/>
        <v>1537.160625</v>
      </c>
      <c r="U201" s="239">
        <f t="shared" si="18"/>
        <v>2123.5499999999997</v>
      </c>
      <c r="V201" s="239">
        <f t="shared" si="18"/>
        <v>2229.7275</v>
      </c>
      <c r="W201" s="239">
        <f t="shared" si="18"/>
        <v>3351.8306250000001</v>
      </c>
      <c r="X201" s="73"/>
      <c r="Y201" s="73"/>
      <c r="Z201" s="73"/>
      <c r="AA201" s="52" t="s">
        <v>310</v>
      </c>
      <c r="AB201" s="73">
        <v>5</v>
      </c>
      <c r="AC201" s="73"/>
      <c r="AD201" s="73" t="s">
        <v>529</v>
      </c>
      <c r="AE201" s="73">
        <v>3</v>
      </c>
      <c r="AG201" s="239">
        <f t="shared" si="19"/>
        <v>768.58031249999999</v>
      </c>
      <c r="AH201" s="239">
        <f t="shared" si="19"/>
        <v>1061.7749999999999</v>
      </c>
      <c r="AI201" s="239">
        <f t="shared" si="19"/>
        <v>1114.86375</v>
      </c>
      <c r="AJ201" s="239">
        <f t="shared" si="19"/>
        <v>1675.9153125</v>
      </c>
      <c r="AM201" s="239">
        <f>637*1.3*0.9/1.6</f>
        <v>465.80625000000003</v>
      </c>
      <c r="AN201" s="239">
        <f>880*1.3*0.9/1.6</f>
        <v>643.5</v>
      </c>
      <c r="AO201" s="239">
        <f>924*1.3*0.9/1.6</f>
        <v>675.67500000000007</v>
      </c>
      <c r="AP201" s="239">
        <f>1389*1.3*0.9/1.6</f>
        <v>1015.7062500000001</v>
      </c>
    </row>
    <row r="202" spans="1:42" s="43" customFormat="1" ht="15.75" hidden="1">
      <c r="A202" s="259" t="str">
        <f t="shared" si="15"/>
        <v/>
      </c>
      <c r="B202" s="52">
        <v>14</v>
      </c>
      <c r="C202" s="231" t="s">
        <v>652</v>
      </c>
      <c r="D202" s="52" t="s">
        <v>270</v>
      </c>
      <c r="E202" s="77"/>
      <c r="F202" s="35"/>
      <c r="G202" s="258" t="str">
        <f t="shared" si="16"/>
        <v/>
      </c>
      <c r="J202" s="73"/>
      <c r="K202" s="63"/>
      <c r="L202" s="63"/>
      <c r="M202" s="223">
        <f t="shared" si="14"/>
        <v>77.962499999999991</v>
      </c>
      <c r="N202" s="223">
        <f t="shared" si="17"/>
        <v>38.981249999999996</v>
      </c>
      <c r="O202" s="43">
        <v>1.65</v>
      </c>
      <c r="P202" s="233">
        <f>42*0.9/1.6</f>
        <v>23.625</v>
      </c>
      <c r="Q202" s="63"/>
      <c r="R202" s="30"/>
      <c r="S202" s="88" t="s">
        <v>653</v>
      </c>
      <c r="T202" s="239">
        <f t="shared" si="18"/>
        <v>1639.2840749999998</v>
      </c>
      <c r="U202" s="239">
        <f t="shared" si="18"/>
        <v>2414.2833000000001</v>
      </c>
      <c r="V202" s="239">
        <f t="shared" si="18"/>
        <v>2571.4259999999995</v>
      </c>
      <c r="W202" s="239">
        <f t="shared" si="18"/>
        <v>4049.9959499999991</v>
      </c>
      <c r="X202" s="73"/>
      <c r="Y202" s="73"/>
      <c r="Z202" s="73"/>
      <c r="AA202" s="88" t="s">
        <v>653</v>
      </c>
      <c r="AB202" s="73">
        <v>6</v>
      </c>
      <c r="AC202" s="73"/>
      <c r="AD202" s="73" t="s">
        <v>530</v>
      </c>
      <c r="AE202" s="73">
        <v>4</v>
      </c>
      <c r="AG202" s="239">
        <f t="shared" si="19"/>
        <v>819.6420374999999</v>
      </c>
      <c r="AH202" s="239">
        <f t="shared" si="19"/>
        <v>1207.14165</v>
      </c>
      <c r="AI202" s="239">
        <f t="shared" si="19"/>
        <v>1285.7129999999997</v>
      </c>
      <c r="AJ202" s="239">
        <f t="shared" si="19"/>
        <v>2024.9979749999995</v>
      </c>
      <c r="AM202" s="239">
        <f>459*1.48*1.3*0.9/1.6</f>
        <v>496.75274999999999</v>
      </c>
      <c r="AN202" s="239">
        <f>676*1.48*1.3*0.9/1.6</f>
        <v>731.601</v>
      </c>
      <c r="AO202" s="239">
        <f>720*1.48*1.3*0.9/1.6</f>
        <v>779.21999999999991</v>
      </c>
      <c r="AP202" s="239">
        <f>1134*1.48*1.3*0.9/1.6</f>
        <v>1227.2714999999998</v>
      </c>
    </row>
    <row r="203" spans="1:42" s="43" customFormat="1" ht="15.75" hidden="1">
      <c r="A203" s="259" t="str">
        <f t="shared" si="15"/>
        <v/>
      </c>
      <c r="B203" s="52">
        <v>14</v>
      </c>
      <c r="C203" s="231" t="s">
        <v>654</v>
      </c>
      <c r="D203" s="52" t="s">
        <v>270</v>
      </c>
      <c r="E203" s="77"/>
      <c r="F203" s="35"/>
      <c r="G203" s="258" t="str">
        <f t="shared" si="16"/>
        <v/>
      </c>
      <c r="J203" s="73"/>
      <c r="K203" s="63"/>
      <c r="L203" s="63"/>
      <c r="M203" s="223">
        <f t="shared" si="14"/>
        <v>681.37957317073176</v>
      </c>
      <c r="N203" s="223">
        <f t="shared" si="17"/>
        <v>340.68978658536588</v>
      </c>
      <c r="O203" s="43">
        <v>1.65</v>
      </c>
      <c r="P203" s="233">
        <f>301/0.82*0.9/1.6</f>
        <v>206.47865853658539</v>
      </c>
      <c r="Q203" s="63"/>
      <c r="S203" s="88" t="s">
        <v>655</v>
      </c>
      <c r="T203" s="239">
        <f t="shared" si="18"/>
        <v>2458.9261124999998</v>
      </c>
      <c r="U203" s="239">
        <f t="shared" si="18"/>
        <v>3621.4249499999996</v>
      </c>
      <c r="V203" s="239">
        <f t="shared" si="18"/>
        <v>3857.1389999999997</v>
      </c>
      <c r="W203" s="239">
        <f t="shared" si="18"/>
        <v>6074.9939249999989</v>
      </c>
      <c r="X203" s="73"/>
      <c r="Y203" s="73"/>
      <c r="Z203" s="73"/>
      <c r="AA203" s="88" t="s">
        <v>655</v>
      </c>
      <c r="AB203" s="73">
        <v>7</v>
      </c>
      <c r="AC203" s="73"/>
      <c r="AD203" s="73" t="s">
        <v>530</v>
      </c>
      <c r="AE203" s="73">
        <v>5</v>
      </c>
      <c r="AG203" s="239">
        <f t="shared" si="19"/>
        <v>1229.4630562499999</v>
      </c>
      <c r="AH203" s="239">
        <f t="shared" si="19"/>
        <v>1810.7124749999998</v>
      </c>
      <c r="AI203" s="239">
        <f t="shared" si="19"/>
        <v>1928.5694999999998</v>
      </c>
      <c r="AJ203" s="239">
        <f t="shared" si="19"/>
        <v>3037.4969624999994</v>
      </c>
      <c r="AM203" s="239">
        <f>AM202*1.5</f>
        <v>745.12912499999993</v>
      </c>
      <c r="AN203" s="239">
        <f>AN202*1.5</f>
        <v>1097.4014999999999</v>
      </c>
      <c r="AO203" s="239">
        <f>AO202*1.5</f>
        <v>1168.83</v>
      </c>
      <c r="AP203" s="239">
        <f>AP202*1.5</f>
        <v>1840.9072499999997</v>
      </c>
    </row>
    <row r="204" spans="1:42" s="43" customFormat="1" ht="15.75" hidden="1">
      <c r="A204" s="52"/>
      <c r="B204" s="52"/>
      <c r="C204" s="231"/>
      <c r="D204" s="52"/>
      <c r="E204" s="77"/>
      <c r="F204" s="35"/>
      <c r="G204" s="258"/>
      <c r="H204" s="242"/>
      <c r="J204" s="73"/>
      <c r="K204" s="63"/>
      <c r="L204" s="63"/>
      <c r="Q204" s="63"/>
      <c r="R204" s="30"/>
      <c r="S204" s="52" t="s">
        <v>399</v>
      </c>
      <c r="T204" s="239">
        <f t="shared" si="18"/>
        <v>1537.160625</v>
      </c>
      <c r="U204" s="239">
        <f t="shared" si="18"/>
        <v>2123.5499999999997</v>
      </c>
      <c r="V204" s="239">
        <f t="shared" si="18"/>
        <v>2229.7275</v>
      </c>
      <c r="W204" s="239">
        <f t="shared" si="18"/>
        <v>3351.8306250000001</v>
      </c>
      <c r="X204" s="73"/>
      <c r="Y204" s="73"/>
      <c r="Z204" s="73"/>
      <c r="AA204" s="52" t="s">
        <v>399</v>
      </c>
      <c r="AB204" s="73">
        <v>8</v>
      </c>
      <c r="AC204" s="73"/>
      <c r="AD204" s="73"/>
      <c r="AE204" s="73"/>
      <c r="AG204" s="239">
        <f t="shared" si="19"/>
        <v>768.58031249999999</v>
      </c>
      <c r="AH204" s="239">
        <f t="shared" si="19"/>
        <v>1061.7749999999999</v>
      </c>
      <c r="AI204" s="239">
        <f t="shared" si="19"/>
        <v>1114.86375</v>
      </c>
      <c r="AJ204" s="239">
        <f t="shared" si="19"/>
        <v>1675.9153125</v>
      </c>
      <c r="AM204" s="239">
        <f>637*1.3*0.9/1.6</f>
        <v>465.80625000000003</v>
      </c>
      <c r="AN204" s="239">
        <f>880*1.3*0.9/1.6</f>
        <v>643.5</v>
      </c>
      <c r="AO204" s="239">
        <f>924*1.3*0.9/1.6</f>
        <v>675.67500000000007</v>
      </c>
      <c r="AP204" s="239">
        <f>1389*1.3*0.9/1.6</f>
        <v>1015.7062500000001</v>
      </c>
    </row>
    <row r="205" spans="1:42" s="43" customFormat="1" ht="15.75" hidden="1">
      <c r="A205" s="52"/>
      <c r="B205" s="52">
        <v>14</v>
      </c>
      <c r="C205" s="235" t="s">
        <v>656</v>
      </c>
      <c r="D205" s="52"/>
      <c r="E205" s="255" t="str">
        <f>IF(ISBLANK(A205),"",SUM(G206:G217)+SUM(G286:G387))</f>
        <v/>
      </c>
      <c r="F205" s="35" t="s">
        <v>645</v>
      </c>
      <c r="G205" s="258"/>
      <c r="H205" s="242"/>
      <c r="J205" s="73"/>
      <c r="K205" s="63"/>
      <c r="L205" s="63"/>
      <c r="Q205" s="63"/>
      <c r="R205" s="30"/>
      <c r="S205" s="52" t="s">
        <v>311</v>
      </c>
      <c r="T205" s="239">
        <f t="shared" si="18"/>
        <v>1411.6781249999999</v>
      </c>
      <c r="U205" s="239">
        <f t="shared" si="18"/>
        <v>1976.3493749999998</v>
      </c>
      <c r="V205" s="239">
        <f t="shared" si="18"/>
        <v>2080.11375</v>
      </c>
      <c r="W205" s="239">
        <f t="shared" si="18"/>
        <v>3168.433125</v>
      </c>
      <c r="X205" s="73"/>
      <c r="Y205" s="73"/>
      <c r="Z205" s="73"/>
      <c r="AA205" s="52" t="s">
        <v>311</v>
      </c>
      <c r="AB205" s="73">
        <v>9</v>
      </c>
      <c r="AC205" s="73"/>
      <c r="AD205" s="73"/>
      <c r="AE205" s="73"/>
      <c r="AG205" s="239">
        <f t="shared" si="19"/>
        <v>705.83906249999995</v>
      </c>
      <c r="AH205" s="239">
        <f t="shared" si="19"/>
        <v>988.17468749999989</v>
      </c>
      <c r="AI205" s="239">
        <f t="shared" si="19"/>
        <v>1040.056875</v>
      </c>
      <c r="AJ205" s="239">
        <f t="shared" si="19"/>
        <v>1584.2165625</v>
      </c>
      <c r="AM205" s="239">
        <f>585*1.3*0.9/1.6</f>
        <v>427.78125</v>
      </c>
      <c r="AN205" s="239">
        <f>819*1.3*0.9/1.6</f>
        <v>598.89374999999995</v>
      </c>
      <c r="AO205" s="239">
        <f>862*1.3*0.9/1.6</f>
        <v>630.33750000000009</v>
      </c>
      <c r="AP205" s="239">
        <f>1313*1.3*0.9/1.6</f>
        <v>960.13125000000002</v>
      </c>
    </row>
    <row r="206" spans="1:42" s="43" customFormat="1" ht="15.75" hidden="1">
      <c r="A206" s="257" t="str">
        <f>IF(ISBLANK(A205),"","-")</f>
        <v/>
      </c>
      <c r="B206" s="52">
        <v>14</v>
      </c>
      <c r="C206" s="260" t="str">
        <f>"- Steel Shell Cab"&amp;IF(A286&gt;0," (See upgrade below)"," (16 gauge steel)")&amp;IF(SUM($A$293:$A$299)&gt;0," with Optional Panels selected below"," with Plastic Laminate Panels")</f>
        <v>- Steel Shell Cab (16 gauge steel) with Plastic Laminate Panels</v>
      </c>
      <c r="D206" s="52" t="s">
        <v>270</v>
      </c>
      <c r="E206" s="255"/>
      <c r="F206" s="35"/>
      <c r="G206" s="258" t="str">
        <f t="shared" ref="G206:G217" si="20">IF(A206="","",(M206*(1-$H$3)))</f>
        <v/>
      </c>
      <c r="J206" s="73"/>
      <c r="K206" s="63"/>
      <c r="L206" s="63"/>
      <c r="M206" s="223">
        <f t="shared" ref="M206:M212" si="21">N206*2</f>
        <v>7376.4658536585357</v>
      </c>
      <c r="N206" s="223">
        <f t="shared" ref="N206:N212" si="22">P206*O206</f>
        <v>3688.2329268292679</v>
      </c>
      <c r="O206" s="43">
        <v>1.65</v>
      </c>
      <c r="P206" s="233">
        <f>(2298+(($G$12-22)*140)+300/0.82+750)*0.9/1.6</f>
        <v>2235.292682926829</v>
      </c>
      <c r="Q206" s="63"/>
      <c r="R206" s="30"/>
      <c r="S206" s="52" t="s">
        <v>312</v>
      </c>
      <c r="T206" s="239">
        <f t="shared" si="18"/>
        <v>1537.160625</v>
      </c>
      <c r="U206" s="239">
        <f t="shared" si="18"/>
        <v>2123.5499999999997</v>
      </c>
      <c r="V206" s="239">
        <f t="shared" si="18"/>
        <v>2229.7275</v>
      </c>
      <c r="W206" s="239">
        <f t="shared" si="18"/>
        <v>3351.8306250000001</v>
      </c>
      <c r="X206" s="73"/>
      <c r="Y206" s="73"/>
      <c r="Z206" s="73"/>
      <c r="AA206" s="52" t="s">
        <v>312</v>
      </c>
      <c r="AB206" s="73">
        <v>10</v>
      </c>
      <c r="AC206" s="73"/>
      <c r="AD206" s="73"/>
      <c r="AE206" s="73"/>
      <c r="AG206" s="239">
        <f t="shared" si="19"/>
        <v>768.58031249999999</v>
      </c>
      <c r="AH206" s="239">
        <f t="shared" si="19"/>
        <v>1061.7749999999999</v>
      </c>
      <c r="AI206" s="239">
        <f t="shared" si="19"/>
        <v>1114.86375</v>
      </c>
      <c r="AJ206" s="239">
        <f t="shared" si="19"/>
        <v>1675.9153125</v>
      </c>
      <c r="AM206" s="239">
        <f>637*1.3*0.9/1.6</f>
        <v>465.80625000000003</v>
      </c>
      <c r="AN206" s="239">
        <f>880*1.3*0.9/1.6</f>
        <v>643.5</v>
      </c>
      <c r="AO206" s="239">
        <f>924*1.3*0.9/1.6</f>
        <v>675.67500000000007</v>
      </c>
      <c r="AP206" s="239">
        <f>1389*1.3*0.9/1.6</f>
        <v>1015.7062500000001</v>
      </c>
    </row>
    <row r="207" spans="1:42" s="43" customFormat="1" ht="15.75" hidden="1">
      <c r="A207" s="259" t="str">
        <f t="shared" ref="A207:A217" si="23">A206</f>
        <v/>
      </c>
      <c r="B207" s="52">
        <v>14</v>
      </c>
      <c r="C207" s="35" t="str">
        <f>IF(SUM($A$306:$A$311)&gt;0,"- See Optional Frieze selected below","- Frieze: #4 S/S")</f>
        <v>- Frieze: #4 S/S</v>
      </c>
      <c r="D207" s="52" t="s">
        <v>270</v>
      </c>
      <c r="E207" s="77"/>
      <c r="F207" s="87"/>
      <c r="G207" s="258" t="str">
        <f t="shared" si="20"/>
        <v/>
      </c>
      <c r="J207" s="73"/>
      <c r="K207" s="63"/>
      <c r="L207" s="63"/>
      <c r="M207" s="223">
        <f t="shared" si="21"/>
        <v>2804.7937499999998</v>
      </c>
      <c r="N207" s="223">
        <f t="shared" si="22"/>
        <v>1402.3968749999999</v>
      </c>
      <c r="O207" s="43">
        <v>1.65</v>
      </c>
      <c r="P207" s="233">
        <f>IF(SUM($A$306:$A$311)&gt;0,0,$G$12*122/2*0.9/1.6 - 75*0.9/1.6)</f>
        <v>849.9375</v>
      </c>
      <c r="Q207" s="63"/>
      <c r="R207" s="30"/>
      <c r="S207" s="88" t="s">
        <v>657</v>
      </c>
      <c r="T207" s="239">
        <f t="shared" si="18"/>
        <v>2258.6849999999995</v>
      </c>
      <c r="U207" s="239">
        <f t="shared" si="18"/>
        <v>3162.1590000000001</v>
      </c>
      <c r="V207" s="239">
        <f t="shared" si="18"/>
        <v>3328.1819999999998</v>
      </c>
      <c r="W207" s="239">
        <f t="shared" si="18"/>
        <v>5069.4930000000004</v>
      </c>
      <c r="X207" s="73"/>
      <c r="Y207" s="73"/>
      <c r="Z207" s="73"/>
      <c r="AA207" s="88" t="s">
        <v>657</v>
      </c>
      <c r="AB207" s="73">
        <v>11</v>
      </c>
      <c r="AC207" s="73"/>
      <c r="AD207" s="73"/>
      <c r="AE207" s="73"/>
      <c r="AG207" s="239">
        <f t="shared" si="19"/>
        <v>1129.3424999999997</v>
      </c>
      <c r="AH207" s="239">
        <f t="shared" si="19"/>
        <v>1581.0795000000001</v>
      </c>
      <c r="AI207" s="239">
        <f t="shared" si="19"/>
        <v>1664.0909999999999</v>
      </c>
      <c r="AJ207" s="239">
        <f t="shared" si="19"/>
        <v>2534.7465000000002</v>
      </c>
      <c r="AM207" s="239">
        <f>585*1.6*1.3*0.9/1.6</f>
        <v>684.44999999999993</v>
      </c>
      <c r="AN207" s="239">
        <f>819*1.6*1.3*0.9/1.6</f>
        <v>958.23</v>
      </c>
      <c r="AO207" s="239">
        <f>862*1.6*1.3*0.9/1.6</f>
        <v>1008.54</v>
      </c>
      <c r="AP207" s="239">
        <f>1313*1.6*1.3*0.9/1.6</f>
        <v>1536.2100000000003</v>
      </c>
    </row>
    <row r="208" spans="1:42" s="43" customFormat="1" ht="15.75" hidden="1">
      <c r="A208" s="259" t="str">
        <f t="shared" si="23"/>
        <v/>
      </c>
      <c r="B208" s="52">
        <v>14</v>
      </c>
      <c r="C208" s="35" t="str">
        <f>IF(SUM($A$312:$A$317)&gt;0,"- See Optional Reveal selected below","- Reveals: #4 S/S")</f>
        <v>- Reveals: #4 S/S</v>
      </c>
      <c r="D208" s="52" t="s">
        <v>270</v>
      </c>
      <c r="E208" s="77"/>
      <c r="F208" s="87"/>
      <c r="G208" s="258" t="str">
        <f t="shared" si="20"/>
        <v/>
      </c>
      <c r="J208" s="73"/>
      <c r="K208" s="63"/>
      <c r="L208" s="63"/>
      <c r="M208" s="223">
        <f t="shared" si="21"/>
        <v>2804.7937499999998</v>
      </c>
      <c r="N208" s="223">
        <f t="shared" si="22"/>
        <v>1402.3968749999999</v>
      </c>
      <c r="O208" s="43">
        <v>1.65</v>
      </c>
      <c r="P208" s="233">
        <f>IF(SUM($A$312:$A$317)&gt;0,0,$G$12*122/2*0.9/1.6 - 75*0.9/1.6)</f>
        <v>849.9375</v>
      </c>
      <c r="Q208" s="63"/>
      <c r="R208" s="30"/>
      <c r="S208" s="73"/>
      <c r="T208" s="73"/>
      <c r="U208" s="73"/>
      <c r="V208" s="73"/>
      <c r="W208" s="73"/>
      <c r="X208" s="73"/>
      <c r="Y208" s="73"/>
      <c r="Z208" s="73"/>
      <c r="AA208" s="73"/>
      <c r="AB208" s="73"/>
      <c r="AC208" s="73"/>
      <c r="AD208" s="73"/>
      <c r="AE208" s="73"/>
    </row>
    <row r="209" spans="1:42" s="43" customFormat="1" ht="15.75" hidden="1">
      <c r="A209" s="259" t="str">
        <f t="shared" si="23"/>
        <v/>
      </c>
      <c r="B209" s="52">
        <v>14</v>
      </c>
      <c r="C209" s="35" t="str">
        <f>IF(SUM($A$319:$A$323)&gt;0,"- See Optional Base selected below","- Base:  #4 S/S")</f>
        <v>- Base:  #4 S/S</v>
      </c>
      <c r="D209" s="52" t="s">
        <v>270</v>
      </c>
      <c r="E209" s="77"/>
      <c r="F209" s="35"/>
      <c r="G209" s="258" t="str">
        <f t="shared" si="20"/>
        <v/>
      </c>
      <c r="J209" s="73"/>
      <c r="K209" s="63"/>
      <c r="L209" s="63"/>
      <c r="M209" s="223">
        <f t="shared" si="21"/>
        <v>277.54649999999998</v>
      </c>
      <c r="N209" s="223">
        <f t="shared" si="22"/>
        <v>138.77324999999999</v>
      </c>
      <c r="O209" s="43">
        <v>1.65</v>
      </c>
      <c r="P209" s="233">
        <f>IF(SUM($A$319:$A$323)&gt;0,0,149.52*0.9/1.6)</f>
        <v>84.105000000000004</v>
      </c>
      <c r="Q209" s="63"/>
      <c r="R209" s="30"/>
      <c r="S209" s="73" t="s">
        <v>537</v>
      </c>
      <c r="T209" s="73" t="s">
        <v>658</v>
      </c>
      <c r="U209" s="73"/>
      <c r="V209" s="73"/>
      <c r="W209" s="73"/>
      <c r="X209" s="73"/>
      <c r="Y209" s="73"/>
      <c r="Z209" s="73"/>
      <c r="AA209" s="73"/>
      <c r="AB209" s="73"/>
      <c r="AC209" s="73"/>
      <c r="AD209" s="73"/>
      <c r="AE209" s="73"/>
    </row>
    <row r="210" spans="1:42" s="43" customFormat="1" ht="15.75" hidden="1">
      <c r="A210" s="259" t="str">
        <f t="shared" si="23"/>
        <v/>
      </c>
      <c r="B210" s="52">
        <v>14</v>
      </c>
      <c r="C210" s="35" t="str">
        <f>IF(SUM($A$325:$A$328)&gt;0,"- See Optional Ceiling selected below","- Ceiling:  Downlight LED with #4 S/S Finish")</f>
        <v>- Ceiling:  Downlight LED with #4 S/S Finish</v>
      </c>
      <c r="D210" s="52" t="s">
        <v>270</v>
      </c>
      <c r="E210" s="77"/>
      <c r="F210" s="35"/>
      <c r="G210" s="258" t="str">
        <f t="shared" si="20"/>
        <v/>
      </c>
      <c r="J210" s="73"/>
      <c r="K210" s="63"/>
      <c r="L210" s="63"/>
      <c r="M210" s="223">
        <f t="shared" si="21"/>
        <v>5145.6976744186049</v>
      </c>
      <c r="N210" s="223">
        <f t="shared" si="22"/>
        <v>2572.8488372093025</v>
      </c>
      <c r="O210" s="43">
        <v>1.65</v>
      </c>
      <c r="P210" s="233">
        <f>IF(SUM($A$325:$A$328)&gt;0,0,2384/0.86*0.9/1.6)</f>
        <v>1559.3023255813955</v>
      </c>
      <c r="Q210" s="63"/>
      <c r="R210" s="30"/>
      <c r="S210" s="73" t="s">
        <v>648</v>
      </c>
      <c r="T210" s="73" t="s">
        <v>524</v>
      </c>
      <c r="U210" s="73" t="s">
        <v>526</v>
      </c>
      <c r="V210" s="73" t="s">
        <v>529</v>
      </c>
      <c r="W210" s="73" t="s">
        <v>530</v>
      </c>
      <c r="X210" s="73"/>
      <c r="Y210" s="73"/>
      <c r="Z210" s="73"/>
      <c r="AA210" s="73" t="s">
        <v>649</v>
      </c>
      <c r="AB210" s="73"/>
      <c r="AC210" s="73"/>
      <c r="AD210" s="73" t="s">
        <v>524</v>
      </c>
      <c r="AE210" s="73">
        <v>1</v>
      </c>
      <c r="AG210" s="43" t="s">
        <v>538</v>
      </c>
      <c r="AI210" s="249">
        <v>1.65</v>
      </c>
    </row>
    <row r="211" spans="1:42" s="43" customFormat="1" ht="15.75" hidden="1">
      <c r="A211" s="259" t="str">
        <f t="shared" si="23"/>
        <v/>
      </c>
      <c r="B211" s="52">
        <v>14</v>
      </c>
      <c r="C211" s="35" t="str">
        <f>IF(SUM($A$330:$A$337)&gt;0,"- See Optional Fronts selected below","- Fronts:  Swing Returns in #4 S/S")</f>
        <v>- Fronts:  Swing Returns in #4 S/S</v>
      </c>
      <c r="D211" s="52" t="s">
        <v>270</v>
      </c>
      <c r="E211" s="77"/>
      <c r="F211" s="35"/>
      <c r="G211" s="258" t="str">
        <f t="shared" si="20"/>
        <v/>
      </c>
      <c r="J211" s="73"/>
      <c r="K211" s="63"/>
      <c r="L211" s="63"/>
      <c r="M211" s="223">
        <f t="shared" si="21"/>
        <v>1652.8049999999998</v>
      </c>
      <c r="N211" s="223">
        <f t="shared" si="22"/>
        <v>826.40249999999992</v>
      </c>
      <c r="O211" s="43">
        <v>1.65</v>
      </c>
      <c r="P211" s="233">
        <f>IF(SUM($A$330:$A$337)&gt;0,0,890.4*0.9/1.6)</f>
        <v>500.84999999999997</v>
      </c>
      <c r="Q211" s="63"/>
      <c r="R211" s="30"/>
      <c r="S211" s="73" t="s">
        <v>427</v>
      </c>
      <c r="T211" s="239">
        <f t="shared" ref="T211:W213" si="24">AG211*2</f>
        <v>228.63567073170731</v>
      </c>
      <c r="U211" s="239">
        <f t="shared" si="24"/>
        <v>262.59146341463412</v>
      </c>
      <c r="V211" s="239">
        <f t="shared" si="24"/>
        <v>228.63567073170731</v>
      </c>
      <c r="W211" s="239">
        <f t="shared" si="24"/>
        <v>525.18292682926824</v>
      </c>
      <c r="X211" s="73"/>
      <c r="Y211" s="73"/>
      <c r="Z211" s="73"/>
      <c r="AA211" s="73" t="s">
        <v>427</v>
      </c>
      <c r="AB211" s="73">
        <v>1</v>
      </c>
      <c r="AC211" s="73"/>
      <c r="AD211" s="73" t="s">
        <v>526</v>
      </c>
      <c r="AE211" s="73">
        <v>2</v>
      </c>
      <c r="AG211" s="239">
        <f t="shared" ref="AG211:AJ213" si="25">AM211*$AI$210</f>
        <v>114.31783536585365</v>
      </c>
      <c r="AH211" s="239">
        <f t="shared" si="25"/>
        <v>131.29573170731706</v>
      </c>
      <c r="AI211" s="239">
        <f t="shared" si="25"/>
        <v>114.31783536585365</v>
      </c>
      <c r="AJ211" s="239">
        <f t="shared" si="25"/>
        <v>262.59146341463412</v>
      </c>
      <c r="AM211" s="239">
        <f>101/0.82*0.9/1.6</f>
        <v>69.283536585365852</v>
      </c>
      <c r="AN211" s="261">
        <f>116/0.82*0.9/1.6</f>
        <v>79.573170731707322</v>
      </c>
      <c r="AO211" s="239">
        <f>101/0.82*0.9/1.6</f>
        <v>69.283536585365852</v>
      </c>
      <c r="AP211" s="262">
        <f>116/0.82*2*0.9/1.6</f>
        <v>159.14634146341464</v>
      </c>
    </row>
    <row r="212" spans="1:42" s="43" customFormat="1" ht="20.25" hidden="1" customHeight="1">
      <c r="A212" s="259" t="str">
        <f t="shared" si="23"/>
        <v/>
      </c>
      <c r="B212" s="52">
        <v>14</v>
      </c>
      <c r="C212" s="35" t="str">
        <f>IF(SUM($A$340:$A$361)&gt;0,"- See Optional Handrail(s) selected below","- Handrail: Cylindrical 1 1/2'' Continuous #4 S/S (single back wall)")</f>
        <v>- Handrail: Cylindrical 1 1/2'' Continuous #4 S/S (single back wall)</v>
      </c>
      <c r="D212" s="52" t="s">
        <v>270</v>
      </c>
      <c r="E212" s="77"/>
      <c r="F212" s="35"/>
      <c r="G212" s="258" t="str">
        <f t="shared" si="20"/>
        <v/>
      </c>
      <c r="J212" s="73"/>
      <c r="K212" s="63"/>
      <c r="L212" s="63"/>
      <c r="M212" s="223">
        <f t="shared" si="21"/>
        <v>303.33841463414632</v>
      </c>
      <c r="N212" s="223">
        <f t="shared" si="22"/>
        <v>151.66920731707316</v>
      </c>
      <c r="O212" s="43">
        <v>1.65</v>
      </c>
      <c r="P212" s="233">
        <f>IF(SUM($A$340:$A$361)&gt;0,0,134/0.82*0.9/1.6)</f>
        <v>91.920731707317074</v>
      </c>
      <c r="Q212" s="63"/>
      <c r="R212" s="30"/>
      <c r="S212" s="73" t="s">
        <v>428</v>
      </c>
      <c r="T212" s="239">
        <f t="shared" si="24"/>
        <v>1629.7874999999999</v>
      </c>
      <c r="U212" s="239">
        <f t="shared" si="24"/>
        <v>2704.5562499999996</v>
      </c>
      <c r="V212" s="239">
        <f t="shared" si="24"/>
        <v>1629.7874999999999</v>
      </c>
      <c r="W212" s="239">
        <f t="shared" si="24"/>
        <v>5409.1124999999993</v>
      </c>
      <c r="X212" s="73"/>
      <c r="Y212" s="73"/>
      <c r="Z212" s="73"/>
      <c r="AA212" s="73" t="s">
        <v>428</v>
      </c>
      <c r="AB212" s="73">
        <v>2</v>
      </c>
      <c r="AC212" s="73"/>
      <c r="AD212" s="73" t="s">
        <v>529</v>
      </c>
      <c r="AE212" s="73">
        <v>3</v>
      </c>
      <c r="AG212" s="239">
        <f t="shared" si="25"/>
        <v>814.89374999999995</v>
      </c>
      <c r="AH212" s="239">
        <f t="shared" si="25"/>
        <v>1352.2781249999998</v>
      </c>
      <c r="AI212" s="239">
        <f t="shared" si="25"/>
        <v>814.89374999999995</v>
      </c>
      <c r="AJ212" s="239">
        <f t="shared" si="25"/>
        <v>2704.5562499999996</v>
      </c>
      <c r="AM212" s="239">
        <f>878*0.9/1.6</f>
        <v>493.875</v>
      </c>
      <c r="AN212" s="261">
        <f>1457*0.9/1.6</f>
        <v>819.56249999999989</v>
      </c>
      <c r="AO212" s="239">
        <f>878*0.9/1.6</f>
        <v>493.875</v>
      </c>
      <c r="AP212" s="262">
        <f>1457*2*0.9/1.6</f>
        <v>1639.1249999999998</v>
      </c>
    </row>
    <row r="213" spans="1:42" s="43" customFormat="1" ht="15.75" hidden="1">
      <c r="A213" s="259" t="str">
        <f t="shared" si="23"/>
        <v/>
      </c>
      <c r="B213" s="52">
        <v>14</v>
      </c>
      <c r="C213" s="35" t="str">
        <f>IF(SUM($A$381)&gt;0,"- See Optional Front Car Door selected below","- Front Car Door ("&amp;$C$9&amp;") #4 S/S")</f>
        <v>- Front Car Door () #4 S/S</v>
      </c>
      <c r="D213" s="52" t="s">
        <v>270</v>
      </c>
      <c r="E213" s="73"/>
      <c r="F213" s="35"/>
      <c r="G213" s="258" t="str">
        <f t="shared" si="20"/>
        <v/>
      </c>
      <c r="J213" s="73"/>
      <c r="K213" s="63"/>
      <c r="L213" s="63"/>
      <c r="M213" s="247" t="e">
        <f>IF(SUM($A$381)&gt;0,0,HLOOKUP($C$9,$T$196:$W$207,4,FALSE))</f>
        <v>#N/A</v>
      </c>
      <c r="N213" s="43" t="s">
        <v>650</v>
      </c>
      <c r="Q213" s="63"/>
      <c r="R213" s="30"/>
      <c r="S213" s="73" t="s">
        <v>659</v>
      </c>
      <c r="T213" s="239">
        <f t="shared" si="24"/>
        <v>1577.8125</v>
      </c>
      <c r="U213" s="239">
        <f t="shared" si="24"/>
        <v>1824.6937499999999</v>
      </c>
      <c r="V213" s="239">
        <f t="shared" si="24"/>
        <v>1577.8125</v>
      </c>
      <c r="W213" s="239">
        <f t="shared" si="24"/>
        <v>3649.3874999999998</v>
      </c>
      <c r="X213" s="73"/>
      <c r="Y213" s="73"/>
      <c r="Z213" s="73"/>
      <c r="AA213" s="73" t="s">
        <v>659</v>
      </c>
      <c r="AB213" s="73">
        <v>3</v>
      </c>
      <c r="AC213" s="73"/>
      <c r="AD213" s="73" t="s">
        <v>530</v>
      </c>
      <c r="AE213" s="73">
        <v>4</v>
      </c>
      <c r="AG213" s="239">
        <f t="shared" si="25"/>
        <v>788.90625</v>
      </c>
      <c r="AH213" s="239">
        <f t="shared" si="25"/>
        <v>912.34687499999995</v>
      </c>
      <c r="AI213" s="239">
        <f t="shared" si="25"/>
        <v>788.90625</v>
      </c>
      <c r="AJ213" s="239">
        <f t="shared" si="25"/>
        <v>1824.6937499999999</v>
      </c>
      <c r="AM213" s="239">
        <f>850*0.9/1.6</f>
        <v>478.125</v>
      </c>
      <c r="AN213" s="261">
        <f>983*0.9/1.6</f>
        <v>552.9375</v>
      </c>
      <c r="AO213" s="239">
        <f>850*0.9/1.6</f>
        <v>478.125</v>
      </c>
      <c r="AP213" s="262">
        <f>983*2*0.9/1.6</f>
        <v>1105.875</v>
      </c>
    </row>
    <row r="214" spans="1:42" s="43" customFormat="1" ht="15.75" hidden="1">
      <c r="A214" s="259" t="str">
        <f t="shared" si="23"/>
        <v/>
      </c>
      <c r="B214" s="52">
        <v>14</v>
      </c>
      <c r="C214" s="35" t="str">
        <f>IF(SUM($A$363)&gt;0,"- See Optional Front Car Sill selected below","- Front Car Sill ("&amp;$C$9&amp;") Aluminum")</f>
        <v>- Front Car Sill () Aluminum</v>
      </c>
      <c r="D214" s="52" t="s">
        <v>270</v>
      </c>
      <c r="E214" s="77"/>
      <c r="F214" s="35"/>
      <c r="G214" s="258" t="str">
        <f t="shared" si="20"/>
        <v/>
      </c>
      <c r="J214" s="73"/>
      <c r="K214" s="63"/>
      <c r="L214" s="63"/>
      <c r="M214" s="247" t="e">
        <f>IF(SUM($A$363)&gt;0,0,HLOOKUP($C$9,$T$210:$W$213,2,FALSE))</f>
        <v>#N/A</v>
      </c>
      <c r="N214" s="43" t="s">
        <v>660</v>
      </c>
      <c r="Q214" s="63"/>
      <c r="R214" s="30"/>
      <c r="S214" s="73"/>
      <c r="T214" s="73"/>
      <c r="U214" s="73"/>
      <c r="V214" s="73"/>
      <c r="W214" s="73"/>
      <c r="X214" s="73"/>
      <c r="Y214" s="73"/>
      <c r="Z214" s="73"/>
      <c r="AA214" s="73"/>
      <c r="AB214" s="73"/>
      <c r="AC214" s="73"/>
      <c r="AD214" s="73"/>
      <c r="AE214" s="73"/>
    </row>
    <row r="215" spans="1:42" s="43" customFormat="1" ht="15.75" hidden="1">
      <c r="A215" s="259" t="str">
        <f t="shared" si="23"/>
        <v/>
      </c>
      <c r="B215" s="52">
        <v>14</v>
      </c>
      <c r="C215" s="35" t="str">
        <f>IF(SUM($A$369:$A$372)&gt;0,"- See Optional Fan selected below","- Fan:  Two Speed")</f>
        <v>- Fan:  Two Speed</v>
      </c>
      <c r="D215" s="52" t="s">
        <v>270</v>
      </c>
      <c r="E215" s="77"/>
      <c r="F215" s="35"/>
      <c r="G215" s="258" t="str">
        <f t="shared" si="20"/>
        <v/>
      </c>
      <c r="J215" s="73"/>
      <c r="K215" s="63"/>
      <c r="L215" s="63"/>
      <c r="M215" s="223">
        <f>N215*2</f>
        <v>246.36149999999998</v>
      </c>
      <c r="N215" s="223">
        <f>P215*O215</f>
        <v>123.18074999999999</v>
      </c>
      <c r="O215" s="43">
        <v>1.65</v>
      </c>
      <c r="P215" s="233">
        <f>IF(SUM($A$369:$A$372)&gt;0,0,132.72*0.9/1.6)</f>
        <v>74.655000000000001</v>
      </c>
      <c r="Q215" s="63"/>
      <c r="R215" s="30"/>
      <c r="S215" s="73" t="s">
        <v>537</v>
      </c>
      <c r="T215" s="73" t="s">
        <v>661</v>
      </c>
      <c r="U215" s="73"/>
      <c r="V215" s="73"/>
      <c r="W215" s="73"/>
      <c r="X215" s="73"/>
      <c r="Y215" s="73"/>
      <c r="Z215" s="73"/>
      <c r="AA215" s="73"/>
      <c r="AB215" s="73"/>
      <c r="AC215" s="73"/>
      <c r="AD215" s="73"/>
      <c r="AE215" s="73"/>
    </row>
    <row r="216" spans="1:42" s="43" customFormat="1" ht="15.75" hidden="1">
      <c r="A216" s="259" t="str">
        <f t="shared" si="23"/>
        <v/>
      </c>
      <c r="B216" s="52">
        <v>14</v>
      </c>
      <c r="C216" s="231" t="s">
        <v>652</v>
      </c>
      <c r="D216" s="52" t="s">
        <v>270</v>
      </c>
      <c r="E216" s="77"/>
      <c r="F216" s="35"/>
      <c r="G216" s="258" t="str">
        <f t="shared" si="20"/>
        <v/>
      </c>
      <c r="J216" s="73"/>
      <c r="K216" s="63"/>
      <c r="L216" s="63"/>
      <c r="M216" s="223">
        <f>N216*2</f>
        <v>77.962499999999991</v>
      </c>
      <c r="N216" s="223">
        <f>P216*O216</f>
        <v>38.981249999999996</v>
      </c>
      <c r="O216" s="43">
        <v>1.65</v>
      </c>
      <c r="P216" s="233">
        <f>42*0.9/1.6</f>
        <v>23.625</v>
      </c>
      <c r="Q216" s="63"/>
      <c r="R216" s="30"/>
      <c r="S216" s="73"/>
      <c r="T216" s="73" t="s">
        <v>524</v>
      </c>
      <c r="U216" s="73" t="s">
        <v>526</v>
      </c>
      <c r="V216" s="73" t="s">
        <v>529</v>
      </c>
      <c r="W216" s="73" t="s">
        <v>530</v>
      </c>
      <c r="X216" s="73"/>
      <c r="Y216" s="73"/>
      <c r="Z216" s="73"/>
      <c r="AA216" s="73" t="s">
        <v>649</v>
      </c>
      <c r="AB216" s="73"/>
      <c r="AC216" s="73"/>
      <c r="AD216" s="73"/>
      <c r="AE216" s="73"/>
      <c r="AG216" s="43" t="s">
        <v>538</v>
      </c>
      <c r="AI216" s="249">
        <v>1.65</v>
      </c>
    </row>
    <row r="217" spans="1:42" s="43" customFormat="1" ht="15.75" hidden="1">
      <c r="A217" s="259" t="str">
        <f t="shared" si="23"/>
        <v/>
      </c>
      <c r="B217" s="52">
        <v>14</v>
      </c>
      <c r="C217" s="231" t="s">
        <v>654</v>
      </c>
      <c r="D217" s="52" t="s">
        <v>270</v>
      </c>
      <c r="E217" s="77"/>
      <c r="F217" s="35"/>
      <c r="G217" s="258" t="str">
        <f t="shared" si="20"/>
        <v/>
      </c>
      <c r="J217" s="73"/>
      <c r="K217" s="63"/>
      <c r="L217" s="63"/>
      <c r="M217" s="223">
        <f>N217*2</f>
        <v>681.37957317073176</v>
      </c>
      <c r="N217" s="223">
        <f>P217*O217</f>
        <v>340.68978658536588</v>
      </c>
      <c r="O217" s="43">
        <v>1.65</v>
      </c>
      <c r="P217" s="233">
        <f>301/0.82*0.9/1.6</f>
        <v>206.47865853658539</v>
      </c>
      <c r="Q217" s="63"/>
      <c r="R217" s="30"/>
      <c r="S217" s="52" t="s">
        <v>396</v>
      </c>
      <c r="T217" s="239">
        <f>AG217*2</f>
        <v>968.29424999999958</v>
      </c>
      <c r="U217" s="239">
        <f>AH217*2</f>
        <v>1093.8138749999998</v>
      </c>
      <c r="V217" s="239">
        <f>AI217*2</f>
        <v>824.8432499999999</v>
      </c>
      <c r="W217" s="239">
        <f>AJ217*2</f>
        <v>869.67168749999985</v>
      </c>
      <c r="X217" s="73"/>
      <c r="Y217" s="73"/>
      <c r="Z217" s="73"/>
      <c r="AA217" s="52" t="s">
        <v>396</v>
      </c>
      <c r="AB217" s="73">
        <v>1</v>
      </c>
      <c r="AC217" s="73"/>
      <c r="AD217" s="73" t="s">
        <v>524</v>
      </c>
      <c r="AE217" s="73">
        <v>1</v>
      </c>
      <c r="AG217" s="239">
        <f t="shared" ref="AG217:AJ224" si="26">AM217*$AI$216</f>
        <v>484.14712499999979</v>
      </c>
      <c r="AH217" s="239">
        <f t="shared" si="26"/>
        <v>546.90693749999991</v>
      </c>
      <c r="AI217" s="239">
        <f t="shared" si="26"/>
        <v>412.42162499999995</v>
      </c>
      <c r="AJ217" s="239">
        <f t="shared" si="26"/>
        <v>434.83584374999992</v>
      </c>
      <c r="AM217" s="239">
        <f>324*1.4*1.15*0.9/1.6</f>
        <v>293.4224999999999</v>
      </c>
      <c r="AN217" s="239">
        <f>366*1.4*1.15*0.9/1.6</f>
        <v>331.45874999999995</v>
      </c>
      <c r="AO217" s="239">
        <f>276*1.4*1.15*0.9/1.6</f>
        <v>249.95249999999999</v>
      </c>
      <c r="AP217" s="239">
        <f>291*1.4*1.15*0.9/1.6</f>
        <v>263.53687499999995</v>
      </c>
    </row>
    <row r="218" spans="1:42" s="43" customFormat="1" ht="15.75" hidden="1">
      <c r="A218" s="52"/>
      <c r="B218" s="52"/>
      <c r="C218" s="231"/>
      <c r="D218" s="52"/>
      <c r="E218" s="77"/>
      <c r="F218" s="35"/>
      <c r="G218" s="258"/>
      <c r="H218" s="242"/>
      <c r="J218" s="73"/>
      <c r="K218" s="63"/>
      <c r="L218" s="63"/>
      <c r="Q218" s="63"/>
      <c r="R218" s="30"/>
      <c r="S218" s="52" t="s">
        <v>309</v>
      </c>
      <c r="T218" s="239">
        <f t="shared" ref="T218:W224" si="27">AG218*2</f>
        <v>1628.7665624999997</v>
      </c>
      <c r="U218" s="239">
        <f t="shared" si="27"/>
        <v>1727.3891249999995</v>
      </c>
      <c r="V218" s="239">
        <f t="shared" si="27"/>
        <v>1464.3956249999999</v>
      </c>
      <c r="W218" s="239">
        <f t="shared" si="27"/>
        <v>2184.639187499999</v>
      </c>
      <c r="X218" s="73"/>
      <c r="Y218" s="73"/>
      <c r="Z218" s="73"/>
      <c r="AA218" s="52" t="s">
        <v>309</v>
      </c>
      <c r="AB218" s="73">
        <v>2</v>
      </c>
      <c r="AC218" s="73"/>
      <c r="AD218" s="73" t="s">
        <v>526</v>
      </c>
      <c r="AE218" s="73">
        <v>2</v>
      </c>
      <c r="AG218" s="239">
        <f t="shared" si="26"/>
        <v>814.38328124999987</v>
      </c>
      <c r="AH218" s="239">
        <f t="shared" si="26"/>
        <v>863.69456249999973</v>
      </c>
      <c r="AI218" s="239">
        <f t="shared" si="26"/>
        <v>732.19781249999994</v>
      </c>
      <c r="AJ218" s="239">
        <f t="shared" si="26"/>
        <v>1092.3195937499995</v>
      </c>
      <c r="AM218" s="239">
        <f>545*1.4*1.15*0.9/1.6</f>
        <v>493.56562499999995</v>
      </c>
      <c r="AN218" s="239">
        <f>578*1.4*1.15*0.9/1.6</f>
        <v>523.45124999999985</v>
      </c>
      <c r="AO218" s="239">
        <f>490*1.4*1.15*0.9/1.6</f>
        <v>443.75624999999997</v>
      </c>
      <c r="AP218" s="239">
        <f>731*1.4*1.15*0.9/1.6</f>
        <v>662.0118749999998</v>
      </c>
    </row>
    <row r="219" spans="1:42" s="43" customFormat="1" ht="15.75" hidden="1">
      <c r="A219" s="52"/>
      <c r="B219" s="52">
        <v>14</v>
      </c>
      <c r="C219" s="235" t="s">
        <v>662</v>
      </c>
      <c r="D219" s="52"/>
      <c r="E219" s="255" t="str">
        <f>IF(ISBLANK(A219),"",SUM(G220:G228)+SUM(G286:G387))</f>
        <v/>
      </c>
      <c r="F219" s="35" t="s">
        <v>645</v>
      </c>
      <c r="G219" s="258"/>
      <c r="H219" s="242"/>
      <c r="J219" s="73"/>
      <c r="K219" s="63"/>
      <c r="L219" s="63"/>
      <c r="Q219" s="63"/>
      <c r="R219" s="30"/>
      <c r="S219" s="52" t="s">
        <v>310</v>
      </c>
      <c r="T219" s="239">
        <f t="shared" si="27"/>
        <v>2017.2796874999995</v>
      </c>
      <c r="U219" s="239">
        <f t="shared" si="27"/>
        <v>2118.8908124999994</v>
      </c>
      <c r="V219" s="239">
        <f t="shared" si="27"/>
        <v>1823.0231249999999</v>
      </c>
      <c r="W219" s="239">
        <f t="shared" si="27"/>
        <v>2441.6555624999996</v>
      </c>
      <c r="X219" s="73"/>
      <c r="Y219" s="73"/>
      <c r="Z219" s="73"/>
      <c r="AA219" s="52" t="s">
        <v>310</v>
      </c>
      <c r="AB219" s="73">
        <v>3</v>
      </c>
      <c r="AC219" s="73"/>
      <c r="AD219" s="73" t="s">
        <v>529</v>
      </c>
      <c r="AE219" s="73">
        <v>3</v>
      </c>
      <c r="AG219" s="239">
        <f t="shared" si="26"/>
        <v>1008.6398437499997</v>
      </c>
      <c r="AH219" s="239">
        <f t="shared" si="26"/>
        <v>1059.4454062499997</v>
      </c>
      <c r="AI219" s="239">
        <f t="shared" si="26"/>
        <v>911.51156249999997</v>
      </c>
      <c r="AJ219" s="239">
        <f t="shared" si="26"/>
        <v>1220.8277812499998</v>
      </c>
      <c r="AM219" s="239">
        <f>675*1.4*1.15*0.9/1.6</f>
        <v>611.29687499999989</v>
      </c>
      <c r="AN219" s="239">
        <f>709*1.4*1.15*0.9/1.6</f>
        <v>642.08812499999988</v>
      </c>
      <c r="AO219" s="239">
        <f>610*1.4*1.15*0.9/1.6</f>
        <v>552.43124999999998</v>
      </c>
      <c r="AP219" s="239">
        <f>817*1.4*1.15*0.9/1.6</f>
        <v>739.89562499999988</v>
      </c>
    </row>
    <row r="220" spans="1:42" s="43" customFormat="1" ht="15.75" hidden="1">
      <c r="A220" s="257" t="str">
        <f>IF(ISBLANK(A219),"","-")</f>
        <v/>
      </c>
      <c r="B220" s="52">
        <v>14</v>
      </c>
      <c r="C220" s="260" t="str">
        <f>"- Steel Shell Cab"&amp;IF(A286&gt;0," (See upgrade below)"," (16 gauge steel)")&amp;IF(SUM($A$287:$A$289)&gt;0," See Optional wall finish below"," Powder Coated walls")</f>
        <v>- Steel Shell Cab (16 gauge steel) Powder Coated walls</v>
      </c>
      <c r="D220" s="52" t="s">
        <v>270</v>
      </c>
      <c r="E220" s="77"/>
      <c r="F220" s="87"/>
      <c r="G220" s="258" t="str">
        <f t="shared" ref="G220:G228" si="28">IF(A220="","",(M220*(1-$H$3)))</f>
        <v/>
      </c>
      <c r="J220" s="73"/>
      <c r="K220" s="63"/>
      <c r="L220" s="63"/>
      <c r="M220" s="223">
        <f>N220*2</f>
        <v>3697.3783536585361</v>
      </c>
      <c r="N220" s="223">
        <f>P220*O220</f>
        <v>1848.689176829268</v>
      </c>
      <c r="O220" s="43">
        <v>1.65</v>
      </c>
      <c r="P220" s="233">
        <f>(1218+(($G$12-22)*102)+300/0.82)*0.9/1.6</f>
        <v>1120.4176829268292</v>
      </c>
      <c r="Q220" s="63"/>
      <c r="R220" s="30"/>
      <c r="S220" s="88" t="s">
        <v>653</v>
      </c>
      <c r="T220" s="239">
        <f t="shared" si="27"/>
        <v>2410.5745124999999</v>
      </c>
      <c r="U220" s="239">
        <f t="shared" si="27"/>
        <v>2556.5359049999997</v>
      </c>
      <c r="V220" s="239">
        <f t="shared" si="27"/>
        <v>2167.3055249999993</v>
      </c>
      <c r="W220" s="239">
        <f t="shared" si="27"/>
        <v>3233.2659974999988</v>
      </c>
      <c r="X220" s="73"/>
      <c r="Y220" s="73"/>
      <c r="Z220" s="73"/>
      <c r="AA220" s="88" t="s">
        <v>653</v>
      </c>
      <c r="AB220" s="73">
        <v>4</v>
      </c>
      <c r="AC220" s="73"/>
      <c r="AD220" s="73" t="s">
        <v>530</v>
      </c>
      <c r="AE220" s="73">
        <v>4</v>
      </c>
      <c r="AG220" s="239">
        <f t="shared" si="26"/>
        <v>1205.2872562499999</v>
      </c>
      <c r="AH220" s="239">
        <f t="shared" si="26"/>
        <v>1278.2679524999999</v>
      </c>
      <c r="AI220" s="239">
        <f t="shared" si="26"/>
        <v>1083.6527624999997</v>
      </c>
      <c r="AJ220" s="239">
        <f t="shared" si="26"/>
        <v>1616.6329987499994</v>
      </c>
      <c r="AM220" s="239">
        <f>545*1.48*1.4*1.15*0.9/1.6</f>
        <v>730.477125</v>
      </c>
      <c r="AN220" s="239">
        <f>578*1.48*1.4*1.15*0.9/1.6</f>
        <v>774.70784999999989</v>
      </c>
      <c r="AO220" s="239">
        <f>490*1.48*1.4*1.15*0.9/1.6</f>
        <v>656.75924999999984</v>
      </c>
      <c r="AP220" s="239">
        <f>731*1.48*1.4*1.15*0.9/1.6</f>
        <v>979.77757499999973</v>
      </c>
    </row>
    <row r="221" spans="1:42" s="43" customFormat="1" ht="15.75" hidden="1">
      <c r="A221" s="259" t="str">
        <f t="shared" ref="A221:A228" si="29">A220</f>
        <v/>
      </c>
      <c r="B221" s="52">
        <v>14</v>
      </c>
      <c r="C221" s="35" t="str">
        <f>IF(SUM($A$325:$A$328)&gt;0,"- See Optional Ceiling selected below","- Ceiling:  Suspended with #4 S/S frame")</f>
        <v>- Ceiling:  Suspended with #4 S/S frame</v>
      </c>
      <c r="D221" s="52" t="s">
        <v>270</v>
      </c>
      <c r="E221" s="77"/>
      <c r="F221" s="35"/>
      <c r="G221" s="258" t="str">
        <f t="shared" si="28"/>
        <v/>
      </c>
      <c r="J221" s="73"/>
      <c r="K221" s="63"/>
      <c r="L221" s="63"/>
      <c r="M221" s="223">
        <f>N221*2</f>
        <v>1799.3744999999999</v>
      </c>
      <c r="N221" s="223">
        <f>P221*O221</f>
        <v>899.68724999999995</v>
      </c>
      <c r="O221" s="43">
        <v>1.65</v>
      </c>
      <c r="P221" s="233">
        <f>IF(SUM($A$325:$A$328)&gt;0,0,969.36*0.9/1.6)</f>
        <v>545.26499999999999</v>
      </c>
      <c r="Q221" s="63"/>
      <c r="R221" s="30"/>
      <c r="S221" s="52" t="s">
        <v>399</v>
      </c>
      <c r="T221" s="239">
        <f t="shared" si="27"/>
        <v>1948.5427499999994</v>
      </c>
      <c r="U221" s="239">
        <f t="shared" si="27"/>
        <v>2103.9479999999999</v>
      </c>
      <c r="V221" s="239">
        <f t="shared" si="27"/>
        <v>1763.2518749999997</v>
      </c>
      <c r="W221" s="239">
        <f t="shared" si="27"/>
        <v>2701.6604999999995</v>
      </c>
      <c r="X221" s="73"/>
      <c r="Y221" s="73"/>
      <c r="Z221" s="73"/>
      <c r="AA221" s="52" t="s">
        <v>399</v>
      </c>
      <c r="AB221" s="73">
        <v>5</v>
      </c>
      <c r="AC221" s="73"/>
      <c r="AD221" s="73"/>
      <c r="AE221" s="73"/>
      <c r="AG221" s="239">
        <f t="shared" si="26"/>
        <v>974.27137499999969</v>
      </c>
      <c r="AH221" s="239">
        <f t="shared" si="26"/>
        <v>1051.9739999999999</v>
      </c>
      <c r="AI221" s="239">
        <f t="shared" si="26"/>
        <v>881.62593749999985</v>
      </c>
      <c r="AJ221" s="239">
        <f t="shared" si="26"/>
        <v>1350.8302499999998</v>
      </c>
      <c r="AM221" s="239">
        <f>652*1.4*1.15*0.9/1.6</f>
        <v>590.46749999999986</v>
      </c>
      <c r="AN221" s="239">
        <f>704*1.4*1.15*0.9/1.6</f>
        <v>637.55999999999995</v>
      </c>
      <c r="AO221" s="239">
        <f>590*1.4*1.15*0.9/1.6</f>
        <v>534.31874999999991</v>
      </c>
      <c r="AP221" s="239">
        <f>904*1.4*1.15*0.9/1.6</f>
        <v>818.68499999999995</v>
      </c>
    </row>
    <row r="222" spans="1:42" s="43" customFormat="1" ht="15.75" hidden="1">
      <c r="A222" s="259" t="str">
        <f t="shared" si="29"/>
        <v/>
      </c>
      <c r="B222" s="52">
        <v>14</v>
      </c>
      <c r="C222" s="35" t="str">
        <f>IF(SUM($A$330:$A$337)&gt;0,"- See Optional Fronts selected below","- Fronts:  Swing Returns in #4 S/S")</f>
        <v>- Fronts:  Swing Returns in #4 S/S</v>
      </c>
      <c r="D222" s="52" t="s">
        <v>270</v>
      </c>
      <c r="E222" s="77"/>
      <c r="F222" s="35"/>
      <c r="G222" s="258" t="str">
        <f t="shared" si="28"/>
        <v/>
      </c>
      <c r="J222" s="73"/>
      <c r="K222" s="63"/>
      <c r="L222" s="63"/>
      <c r="M222" s="223">
        <f>N222*2</f>
        <v>1652.8049999999998</v>
      </c>
      <c r="N222" s="223">
        <f>P222*O222</f>
        <v>826.40249999999992</v>
      </c>
      <c r="O222" s="43">
        <v>1.65</v>
      </c>
      <c r="P222" s="233">
        <f>IF(SUM($A$330:$A$337)&gt;0,0,890.4*0.9/1.6)</f>
        <v>500.84999999999997</v>
      </c>
      <c r="Q222" s="63"/>
      <c r="R222" s="30"/>
      <c r="S222" s="52" t="s">
        <v>311</v>
      </c>
      <c r="T222" s="239">
        <f t="shared" si="27"/>
        <v>1948.5427499999994</v>
      </c>
      <c r="U222" s="239">
        <f t="shared" si="27"/>
        <v>2103.9479999999999</v>
      </c>
      <c r="V222" s="239">
        <f t="shared" si="27"/>
        <v>1763.2518749999997</v>
      </c>
      <c r="W222" s="239">
        <f t="shared" si="27"/>
        <v>2701.6604999999995</v>
      </c>
      <c r="X222" s="73"/>
      <c r="Y222" s="73"/>
      <c r="Z222" s="73"/>
      <c r="AA222" s="52" t="s">
        <v>311</v>
      </c>
      <c r="AB222" s="73">
        <v>6</v>
      </c>
      <c r="AC222" s="73"/>
      <c r="AD222" s="73"/>
      <c r="AE222" s="73"/>
      <c r="AG222" s="239">
        <f t="shared" si="26"/>
        <v>974.27137499999969</v>
      </c>
      <c r="AH222" s="239">
        <f t="shared" si="26"/>
        <v>1051.9739999999999</v>
      </c>
      <c r="AI222" s="239">
        <f t="shared" si="26"/>
        <v>881.62593749999985</v>
      </c>
      <c r="AJ222" s="239">
        <f t="shared" si="26"/>
        <v>1350.8302499999998</v>
      </c>
      <c r="AM222" s="239">
        <f>652*1.4*1.15*0.9/1.6</f>
        <v>590.46749999999986</v>
      </c>
      <c r="AN222" s="239">
        <f>704*1.4*1.15*0.9/1.6</f>
        <v>637.55999999999995</v>
      </c>
      <c r="AO222" s="239">
        <f>590*1.4*1.15*0.9/1.6</f>
        <v>534.31874999999991</v>
      </c>
      <c r="AP222" s="239">
        <f>904*1.4*1.15*0.9/1.6</f>
        <v>818.68499999999995</v>
      </c>
    </row>
    <row r="223" spans="1:42" s="43" customFormat="1" ht="15.75" hidden="1">
      <c r="A223" s="259" t="str">
        <f t="shared" si="29"/>
        <v/>
      </c>
      <c r="B223" s="52">
        <v>14</v>
      </c>
      <c r="C223" s="35" t="str">
        <f>IF(SUM($A$340:$A$361)&gt;0,"- See Optional Handrail(s) selected below","- Handrail: Cylindrical 1 1/2'' Continuous #4 S/S (single back wall)")</f>
        <v>- Handrail: Cylindrical 1 1/2'' Continuous #4 S/S (single back wall)</v>
      </c>
      <c r="D223" s="52" t="s">
        <v>270</v>
      </c>
      <c r="E223" s="77"/>
      <c r="F223" s="35"/>
      <c r="G223" s="258" t="str">
        <f t="shared" si="28"/>
        <v/>
      </c>
      <c r="J223" s="73"/>
      <c r="K223" s="63"/>
      <c r="L223" s="63"/>
      <c r="M223" s="223">
        <f>N223*2</f>
        <v>303.33841463414632</v>
      </c>
      <c r="N223" s="223">
        <f>P223*O223</f>
        <v>151.66920731707316</v>
      </c>
      <c r="O223" s="43">
        <v>1.65</v>
      </c>
      <c r="P223" s="233">
        <f>IF(SUM($A$340:$A$361)&gt;0,0,134/0.82*0.9/1.6)</f>
        <v>91.920731707317074</v>
      </c>
      <c r="Q223" s="63"/>
      <c r="R223" s="30"/>
      <c r="S223" s="52" t="s">
        <v>312</v>
      </c>
      <c r="T223" s="239">
        <f t="shared" si="27"/>
        <v>2017.2796874999995</v>
      </c>
      <c r="U223" s="239">
        <f t="shared" si="27"/>
        <v>2118.8908124999994</v>
      </c>
      <c r="V223" s="239">
        <f t="shared" si="27"/>
        <v>1823.0231249999999</v>
      </c>
      <c r="W223" s="239">
        <f t="shared" si="27"/>
        <v>2441.6555624999996</v>
      </c>
      <c r="X223" s="73"/>
      <c r="Y223" s="73"/>
      <c r="Z223" s="73"/>
      <c r="AA223" s="52" t="s">
        <v>312</v>
      </c>
      <c r="AB223" s="73">
        <v>7</v>
      </c>
      <c r="AC223" s="73"/>
      <c r="AD223" s="73"/>
      <c r="AE223" s="73"/>
      <c r="AG223" s="239">
        <f t="shared" si="26"/>
        <v>1008.6398437499997</v>
      </c>
      <c r="AH223" s="239">
        <f t="shared" si="26"/>
        <v>1059.4454062499997</v>
      </c>
      <c r="AI223" s="239">
        <f t="shared" si="26"/>
        <v>911.51156249999997</v>
      </c>
      <c r="AJ223" s="239">
        <f t="shared" si="26"/>
        <v>1220.8277812499998</v>
      </c>
      <c r="AM223" s="239">
        <f>675*1.4*1.15*0.9/1.6</f>
        <v>611.29687499999989</v>
      </c>
      <c r="AN223" s="239">
        <f>709*1.4*1.15*0.9/1.6</f>
        <v>642.08812499999988</v>
      </c>
      <c r="AO223" s="239">
        <f>610*1.4*1.15*0.9/1.6</f>
        <v>552.43124999999998</v>
      </c>
      <c r="AP223" s="239">
        <f>817*1.4*1.15*0.9/1.6</f>
        <v>739.89562499999988</v>
      </c>
    </row>
    <row r="224" spans="1:42" s="43" customFormat="1" ht="18.75" hidden="1" customHeight="1">
      <c r="A224" s="259" t="str">
        <f t="shared" si="29"/>
        <v/>
      </c>
      <c r="B224" s="52">
        <v>14</v>
      </c>
      <c r="C224" s="35" t="str">
        <f>IF(SUM($A$381)&gt;0,"- See Optional Front Car Door selected below","- Front Car Door ("&amp;$C$9&amp;") Powder Coated")</f>
        <v>- Front Car Door () Powder Coated</v>
      </c>
      <c r="D224" s="52" t="s">
        <v>270</v>
      </c>
      <c r="E224" s="73"/>
      <c r="F224" s="35"/>
      <c r="G224" s="258" t="str">
        <f t="shared" si="28"/>
        <v/>
      </c>
      <c r="J224" s="73"/>
      <c r="K224" s="63"/>
      <c r="L224" s="63"/>
      <c r="M224" s="247" t="e">
        <f>IF(SUM($A$381)&gt;0,0,HLOOKUP($C$9,$T$196:$W$207,2,FALSE))</f>
        <v>#N/A</v>
      </c>
      <c r="N224" s="43" t="s">
        <v>650</v>
      </c>
      <c r="Q224" s="63"/>
      <c r="R224" s="30"/>
      <c r="S224" s="88" t="s">
        <v>657</v>
      </c>
      <c r="T224" s="239">
        <f t="shared" si="27"/>
        <v>3117.6683999999996</v>
      </c>
      <c r="U224" s="239">
        <f t="shared" si="27"/>
        <v>3366.3167999999996</v>
      </c>
      <c r="V224" s="239">
        <f t="shared" si="27"/>
        <v>2821.2029999999995</v>
      </c>
      <c r="W224" s="239">
        <f t="shared" si="27"/>
        <v>4322.6567999999997</v>
      </c>
      <c r="X224" s="73"/>
      <c r="Y224" s="73"/>
      <c r="Z224" s="73"/>
      <c r="AA224" s="88" t="s">
        <v>657</v>
      </c>
      <c r="AB224" s="73">
        <v>8</v>
      </c>
      <c r="AC224" s="73"/>
      <c r="AD224" s="73"/>
      <c r="AE224" s="73"/>
      <c r="AG224" s="239">
        <f t="shared" si="26"/>
        <v>1558.8341999999998</v>
      </c>
      <c r="AH224" s="239">
        <f t="shared" si="26"/>
        <v>1683.1583999999998</v>
      </c>
      <c r="AI224" s="239">
        <f t="shared" si="26"/>
        <v>1410.6014999999998</v>
      </c>
      <c r="AJ224" s="239">
        <f t="shared" si="26"/>
        <v>2161.3283999999999</v>
      </c>
      <c r="AM224" s="239">
        <f>652*1.6*1.4*1.15*0.9/1.6</f>
        <v>944.74799999999993</v>
      </c>
      <c r="AN224" s="239">
        <f>704*1.6*1.4*1.15*0.9/1.6</f>
        <v>1020.0959999999999</v>
      </c>
      <c r="AO224" s="239">
        <f>590*1.6*1.4*1.15*0.9/1.6</f>
        <v>854.90999999999985</v>
      </c>
      <c r="AP224" s="239">
        <f>904*1.6*1.4*1.15*0.9/1.6</f>
        <v>1309.896</v>
      </c>
    </row>
    <row r="225" spans="1:18" s="43" customFormat="1" ht="15.75" hidden="1">
      <c r="A225" s="259" t="str">
        <f t="shared" si="29"/>
        <v/>
      </c>
      <c r="B225" s="52">
        <v>14</v>
      </c>
      <c r="C225" s="35" t="str">
        <f>IF(SUM($A$363)&gt;0,"- See Optional Front Car Sill selected below","- Front Car Sill ("&amp;$C$9&amp;") Aluminum")</f>
        <v>- Front Car Sill () Aluminum</v>
      </c>
      <c r="D225" s="52" t="s">
        <v>270</v>
      </c>
      <c r="E225" s="77"/>
      <c r="F225" s="35"/>
      <c r="G225" s="258" t="str">
        <f t="shared" si="28"/>
        <v/>
      </c>
      <c r="J225" s="73"/>
      <c r="K225" s="63"/>
      <c r="L225" s="63"/>
      <c r="M225" s="247" t="e">
        <f>IF(SUM($A$363)&gt;0,0,HLOOKUP($C$9,$T$210:$W$213,2,FALSE))</f>
        <v>#N/A</v>
      </c>
      <c r="N225" s="43" t="s">
        <v>660</v>
      </c>
      <c r="Q225" s="63"/>
      <c r="R225" s="30"/>
    </row>
    <row r="226" spans="1:18" s="43" customFormat="1" ht="15.75" hidden="1">
      <c r="A226" s="259" t="str">
        <f t="shared" si="29"/>
        <v/>
      </c>
      <c r="B226" s="52">
        <v>14</v>
      </c>
      <c r="C226" s="35" t="str">
        <f>IF(SUM($A$369:$A$372)&gt;0,"- See Optional Fan selected below","- Fan:  Two Speed")</f>
        <v>- Fan:  Two Speed</v>
      </c>
      <c r="D226" s="52" t="s">
        <v>270</v>
      </c>
      <c r="E226" s="77"/>
      <c r="F226" s="35"/>
      <c r="G226" s="258" t="str">
        <f t="shared" si="28"/>
        <v/>
      </c>
      <c r="J226" s="73"/>
      <c r="K226" s="63"/>
      <c r="L226" s="63"/>
      <c r="M226" s="223">
        <f>N226*2</f>
        <v>246.36149999999998</v>
      </c>
      <c r="N226" s="223">
        <f>P226*O226</f>
        <v>123.18074999999999</v>
      </c>
      <c r="O226" s="43">
        <v>1.65</v>
      </c>
      <c r="P226" s="233">
        <f>IF(SUM($A$369:$A$372)&gt;0,0,132.72*0.9/1.6)</f>
        <v>74.655000000000001</v>
      </c>
      <c r="Q226" s="63"/>
      <c r="R226" s="30"/>
    </row>
    <row r="227" spans="1:18" s="43" customFormat="1" ht="15.75" hidden="1">
      <c r="A227" s="259" t="str">
        <f t="shared" si="29"/>
        <v/>
      </c>
      <c r="B227" s="52">
        <v>14</v>
      </c>
      <c r="C227" s="231" t="s">
        <v>652</v>
      </c>
      <c r="D227" s="52" t="s">
        <v>270</v>
      </c>
      <c r="E227" s="77"/>
      <c r="F227" s="35"/>
      <c r="G227" s="258" t="str">
        <f t="shared" si="28"/>
        <v/>
      </c>
      <c r="J227" s="73"/>
      <c r="K227" s="63"/>
      <c r="L227" s="63"/>
      <c r="M227" s="223">
        <f>N227*2</f>
        <v>77.962499999999991</v>
      </c>
      <c r="N227" s="223">
        <f>P227*O227</f>
        <v>38.981249999999996</v>
      </c>
      <c r="O227" s="43">
        <v>1.65</v>
      </c>
      <c r="P227" s="233">
        <f>42*0.9/1.6</f>
        <v>23.625</v>
      </c>
      <c r="Q227" s="63"/>
      <c r="R227" s="30"/>
    </row>
    <row r="228" spans="1:18" s="43" customFormat="1" ht="15.75" hidden="1">
      <c r="A228" s="259" t="str">
        <f t="shared" si="29"/>
        <v/>
      </c>
      <c r="B228" s="52">
        <v>14</v>
      </c>
      <c r="C228" s="231" t="s">
        <v>654</v>
      </c>
      <c r="D228" s="52" t="s">
        <v>270</v>
      </c>
      <c r="E228" s="77"/>
      <c r="F228" s="35"/>
      <c r="G228" s="258" t="str">
        <f t="shared" si="28"/>
        <v/>
      </c>
      <c r="J228" s="73"/>
      <c r="K228" s="63"/>
      <c r="L228" s="63"/>
      <c r="M228" s="223">
        <f>N228*2</f>
        <v>681.37957317073176</v>
      </c>
      <c r="N228" s="223">
        <f>P228*O228</f>
        <v>340.68978658536588</v>
      </c>
      <c r="O228" s="43">
        <v>1.65</v>
      </c>
      <c r="P228" s="233">
        <f>301/0.82*0.9/1.6</f>
        <v>206.47865853658539</v>
      </c>
      <c r="Q228" s="63"/>
      <c r="R228" s="30"/>
    </row>
    <row r="229" spans="1:18" s="43" customFormat="1" ht="15.75" hidden="1">
      <c r="A229" s="52"/>
      <c r="B229" s="52"/>
      <c r="C229" s="231"/>
      <c r="D229" s="52"/>
      <c r="E229" s="77"/>
      <c r="F229" s="35"/>
      <c r="G229" s="258"/>
      <c r="H229" s="242"/>
      <c r="J229" s="73"/>
      <c r="K229" s="63"/>
      <c r="L229" s="63"/>
      <c r="Q229" s="63"/>
      <c r="R229" s="30"/>
    </row>
    <row r="230" spans="1:18" s="43" customFormat="1" ht="15.75" hidden="1">
      <c r="A230" s="52"/>
      <c r="B230" s="52">
        <v>14</v>
      </c>
      <c r="C230" s="235" t="s">
        <v>644</v>
      </c>
      <c r="D230" s="52"/>
      <c r="E230" s="255" t="str">
        <f>IF(ISBLANK(A230),"",SUM(G231:G242)+SUM(G286:G387))</f>
        <v/>
      </c>
      <c r="F230" s="35" t="s">
        <v>663</v>
      </c>
      <c r="G230" s="256"/>
      <c r="J230" s="73"/>
      <c r="K230" s="63"/>
      <c r="L230" s="63"/>
      <c r="Q230" s="63"/>
      <c r="R230" s="30"/>
    </row>
    <row r="231" spans="1:18" s="43" customFormat="1" ht="15.75" hidden="1">
      <c r="A231" s="257" t="str">
        <f>IF(ISBLANK(A230),"","-")</f>
        <v/>
      </c>
      <c r="B231" s="52">
        <v>14</v>
      </c>
      <c r="C231" s="231" t="s">
        <v>646</v>
      </c>
      <c r="D231" s="52" t="s">
        <v>270</v>
      </c>
      <c r="E231" s="255"/>
      <c r="F231" s="35"/>
      <c r="G231" s="258" t="str">
        <f t="shared" ref="G231:G242" si="30">IF(A231="","",(M231*(1-$H$3)))</f>
        <v/>
      </c>
      <c r="J231" s="73"/>
      <c r="K231" s="63"/>
      <c r="L231" s="63"/>
      <c r="M231" s="223">
        <f>N231*2</f>
        <v>5696.5596036585357</v>
      </c>
      <c r="N231" s="223">
        <f>P231*O231</f>
        <v>2848.2798018292679</v>
      </c>
      <c r="O231" s="43">
        <v>1.65</v>
      </c>
      <c r="P231" s="233">
        <f>(1469+(($G$12-22)*121)+300/0.82+750)*0.9/1.6</f>
        <v>1726.2301829268292</v>
      </c>
      <c r="Q231" s="63"/>
      <c r="R231" s="30"/>
    </row>
    <row r="232" spans="1:18" s="43" customFormat="1" ht="15.75" hidden="1">
      <c r="A232" s="259" t="str">
        <f t="shared" ref="A232:A242" si="31">A231</f>
        <v/>
      </c>
      <c r="B232" s="52">
        <v>14</v>
      </c>
      <c r="C232" s="35" t="str">
        <f>IF(SUM($A$325:$A$328)&gt;0,"- See Optional Ceiling selected below","- Ceiling:  Suspended with #4 S/S frame")</f>
        <v>- Ceiling:  Suspended with #4 S/S frame</v>
      </c>
      <c r="D232" s="52" t="s">
        <v>270</v>
      </c>
      <c r="E232" s="77"/>
      <c r="F232" s="35"/>
      <c r="G232" s="258" t="str">
        <f t="shared" si="30"/>
        <v/>
      </c>
      <c r="J232" s="73"/>
      <c r="K232" s="63"/>
      <c r="L232" s="63"/>
      <c r="M232" s="223">
        <f>N232*2</f>
        <v>1799.3744999999999</v>
      </c>
      <c r="N232" s="223">
        <f>P232*O232</f>
        <v>899.68724999999995</v>
      </c>
      <c r="O232" s="43">
        <v>1.65</v>
      </c>
      <c r="P232" s="233">
        <f>IF(SUM($A$325:$A$328)&gt;0,0,969.36*0.9/1.6)</f>
        <v>545.26499999999999</v>
      </c>
      <c r="Q232" s="63"/>
      <c r="R232" s="30"/>
    </row>
    <row r="233" spans="1:18" s="43" customFormat="1" ht="15.75" hidden="1">
      <c r="A233" s="259" t="str">
        <f t="shared" si="31"/>
        <v/>
      </c>
      <c r="B233" s="52">
        <v>14</v>
      </c>
      <c r="C233" s="35" t="str">
        <f>IF(SUM($A$330:$A$337)&gt;0,"- See Optional Fronts selected below","- Fronts:  Swing Returns in #4 S/S  Front")</f>
        <v>- Fronts:  Swing Returns in #4 S/S  Front</v>
      </c>
      <c r="D233" s="52" t="s">
        <v>270</v>
      </c>
      <c r="E233" s="77"/>
      <c r="F233" s="35"/>
      <c r="G233" s="258" t="str">
        <f t="shared" si="30"/>
        <v/>
      </c>
      <c r="J233" s="73"/>
      <c r="K233" s="63"/>
      <c r="L233" s="63"/>
      <c r="M233" s="223">
        <f>N233*2</f>
        <v>1652.8049999999998</v>
      </c>
      <c r="N233" s="223">
        <f>P233*O233</f>
        <v>826.40249999999992</v>
      </c>
      <c r="O233" s="43">
        <v>1.65</v>
      </c>
      <c r="P233" s="233">
        <f>IF(SUM($A$330:$A$337)&gt;0,0,890.4*0.9/1.6)</f>
        <v>500.84999999999997</v>
      </c>
      <c r="Q233" s="63"/>
      <c r="R233" s="30"/>
    </row>
    <row r="234" spans="1:18" s="43" customFormat="1" ht="15.75" hidden="1">
      <c r="A234" s="259" t="str">
        <f t="shared" si="31"/>
        <v/>
      </c>
      <c r="B234" s="52">
        <v>14</v>
      </c>
      <c r="C234" s="35" t="str">
        <f>IF(SUM($A$330:$A$337)&gt;0,"- See Optional Fronts selected below","- Fronts:  Swing Returns in #4 S/S  Rear")</f>
        <v>- Fronts:  Swing Returns in #4 S/S  Rear</v>
      </c>
      <c r="D234" s="52" t="s">
        <v>270</v>
      </c>
      <c r="E234" s="77"/>
      <c r="F234" s="35"/>
      <c r="G234" s="258" t="str">
        <f t="shared" si="30"/>
        <v/>
      </c>
      <c r="J234" s="73"/>
      <c r="K234" s="63"/>
      <c r="L234" s="63"/>
      <c r="M234" s="223">
        <f>N234*2</f>
        <v>1652.8049999999998</v>
      </c>
      <c r="N234" s="223">
        <f>P234*O234</f>
        <v>826.40249999999992</v>
      </c>
      <c r="O234" s="43">
        <v>1.65</v>
      </c>
      <c r="P234" s="233">
        <f>IF(SUM($A$330:$A$337)&gt;0,0,890.4*0.9/1.6)</f>
        <v>500.84999999999997</v>
      </c>
      <c r="Q234" s="63"/>
      <c r="R234" s="30"/>
    </row>
    <row r="235" spans="1:18" s="43" customFormat="1" ht="15.75" hidden="1">
      <c r="A235" s="259" t="str">
        <f t="shared" si="31"/>
        <v/>
      </c>
      <c r="B235" s="52">
        <v>14</v>
      </c>
      <c r="C235" s="35" t="str">
        <f>IF(SUM($A$340:$A$361)&gt;0,"- See Optional Handrail(s) selected below","- Handrail: Cylindrical 1 1/2'' Continuous #4 S/S (side walls (2))")</f>
        <v>- Handrail: Cylindrical 1 1/2'' Continuous #4 S/S (side walls (2))</v>
      </c>
      <c r="D235" s="52" t="s">
        <v>270</v>
      </c>
      <c r="E235" s="77"/>
      <c r="F235" s="35"/>
      <c r="G235" s="258" t="str">
        <f t="shared" si="30"/>
        <v/>
      </c>
      <c r="J235" s="73"/>
      <c r="K235" s="63"/>
      <c r="L235" s="63"/>
      <c r="M235" s="223">
        <f>N235*2</f>
        <v>606.67682926829264</v>
      </c>
      <c r="N235" s="223">
        <f>P235*O235</f>
        <v>303.33841463414632</v>
      </c>
      <c r="O235" s="43">
        <v>1.65</v>
      </c>
      <c r="P235" s="233">
        <f>IF(SUM($A$340:$A$361)&gt;0,0,134/0.82*0.9/1.6*2)</f>
        <v>183.84146341463415</v>
      </c>
      <c r="Q235" s="63"/>
      <c r="R235" s="30"/>
    </row>
    <row r="236" spans="1:18" s="43" customFormat="1" ht="15.75" hidden="1">
      <c r="A236" s="259" t="str">
        <f t="shared" si="31"/>
        <v/>
      </c>
      <c r="B236" s="52">
        <v>14</v>
      </c>
      <c r="C236" s="35" t="str">
        <f>IF(SUM($A$381)&gt;0,"- See Optional Front Car Door selected below","- Front Car Door ("&amp;$C$9&amp;") Powder Coated")</f>
        <v>- Front Car Door () Powder Coated</v>
      </c>
      <c r="D236" s="52" t="s">
        <v>270</v>
      </c>
      <c r="E236" s="73"/>
      <c r="F236" s="35"/>
      <c r="G236" s="258" t="str">
        <f t="shared" si="30"/>
        <v/>
      </c>
      <c r="J236" s="73"/>
      <c r="K236" s="63"/>
      <c r="L236" s="63"/>
      <c r="M236" s="247" t="e">
        <f>IF(SUM($A$381)&gt;0,0,HLOOKUP($C$9,$T$196:$W$207,2,FALSE))</f>
        <v>#N/A</v>
      </c>
      <c r="N236" s="43" t="s">
        <v>650</v>
      </c>
      <c r="Q236" s="63"/>
      <c r="R236" s="30"/>
    </row>
    <row r="237" spans="1:18" s="43" customFormat="1" ht="15.75" hidden="1">
      <c r="A237" s="259" t="str">
        <f t="shared" si="31"/>
        <v/>
      </c>
      <c r="B237" s="52">
        <v>14</v>
      </c>
      <c r="C237" s="35" t="str">
        <f>IF(SUM($A$382)&gt;0,"- See Optional Rear Car Door selected below","- Rear Car Door ("&amp;$C$10&amp;") Powder Coated")</f>
        <v>- Rear Car Door () Powder Coated</v>
      </c>
      <c r="D237" s="52" t="s">
        <v>270</v>
      </c>
      <c r="E237" s="73"/>
      <c r="F237" s="35"/>
      <c r="G237" s="258" t="str">
        <f t="shared" si="30"/>
        <v/>
      </c>
      <c r="J237" s="73"/>
      <c r="K237" s="63"/>
      <c r="L237" s="63"/>
      <c r="M237" s="247" t="e">
        <f>IF(SUM($A$381)&gt;0,0,HLOOKUP($C$10,$T$196:$W$207,2,FALSE))</f>
        <v>#N/A</v>
      </c>
      <c r="N237" s="43" t="s">
        <v>650</v>
      </c>
      <c r="Q237" s="63"/>
      <c r="R237" s="30"/>
    </row>
    <row r="238" spans="1:18" s="43" customFormat="1" ht="15.75" hidden="1">
      <c r="A238" s="259" t="str">
        <f t="shared" si="31"/>
        <v/>
      </c>
      <c r="B238" s="52">
        <v>14</v>
      </c>
      <c r="C238" s="35" t="str">
        <f>IF(SUM($A$363)&gt;0,"- See Optional Front Car Sill selected below","- Front Car Sill ("&amp;$C$9&amp;") Aluminum")</f>
        <v>- Front Car Sill () Aluminum</v>
      </c>
      <c r="D238" s="52" t="s">
        <v>270</v>
      </c>
      <c r="E238" s="77"/>
      <c r="F238" s="35"/>
      <c r="G238" s="258" t="str">
        <f t="shared" si="30"/>
        <v/>
      </c>
      <c r="J238" s="73"/>
      <c r="K238" s="63"/>
      <c r="L238" s="63"/>
      <c r="M238" s="247" t="e">
        <f>IF(SUM($A$363)&gt;0,0,HLOOKUP($C$9,$T$210:$W$213,2,FALSE))</f>
        <v>#N/A</v>
      </c>
      <c r="N238" s="43" t="s">
        <v>660</v>
      </c>
      <c r="Q238" s="63"/>
      <c r="R238" s="30"/>
    </row>
    <row r="239" spans="1:18" s="43" customFormat="1" ht="15.75" hidden="1">
      <c r="A239" s="259" t="str">
        <f t="shared" si="31"/>
        <v/>
      </c>
      <c r="B239" s="52">
        <v>14</v>
      </c>
      <c r="C239" s="35" t="str">
        <f>IF(SUM($A$364)&gt;0,"- See Optional Front Car Sill selected below","- Front Car Sill ("&amp;$C$10&amp;") Aluminum")</f>
        <v>- Front Car Sill () Aluminum</v>
      </c>
      <c r="D239" s="52" t="s">
        <v>270</v>
      </c>
      <c r="E239" s="77"/>
      <c r="F239" s="35"/>
      <c r="G239" s="258" t="str">
        <f t="shared" si="30"/>
        <v/>
      </c>
      <c r="J239" s="73"/>
      <c r="K239" s="63"/>
      <c r="L239" s="63"/>
      <c r="M239" s="247" t="e">
        <f>IF(SUM($A$363)&gt;0,0,HLOOKUP($C$10,$T$210:$W$213,2,FALSE))</f>
        <v>#N/A</v>
      </c>
      <c r="N239" s="43" t="s">
        <v>660</v>
      </c>
      <c r="Q239" s="63"/>
      <c r="R239" s="30"/>
    </row>
    <row r="240" spans="1:18" s="43" customFormat="1" ht="15.75" hidden="1">
      <c r="A240" s="259" t="str">
        <f t="shared" si="31"/>
        <v/>
      </c>
      <c r="B240" s="52">
        <v>14</v>
      </c>
      <c r="C240" s="35" t="str">
        <f>IF(SUM($A$369:$A$372)&gt;0,"- See Optional Fan selected below","- Fan:  Two Speed")</f>
        <v>- Fan:  Two Speed</v>
      </c>
      <c r="D240" s="52" t="s">
        <v>270</v>
      </c>
      <c r="E240" s="77"/>
      <c r="F240" s="35"/>
      <c r="G240" s="258" t="str">
        <f t="shared" si="30"/>
        <v/>
      </c>
      <c r="J240" s="73"/>
      <c r="K240" s="63"/>
      <c r="L240" s="63"/>
      <c r="M240" s="223">
        <f>N240*2</f>
        <v>246.36149999999998</v>
      </c>
      <c r="N240" s="223">
        <f>P240*O240</f>
        <v>123.18074999999999</v>
      </c>
      <c r="O240" s="43">
        <v>1.65</v>
      </c>
      <c r="P240" s="233">
        <f>IF(SUM($A$369:$A$372)&gt;0,0,132.72*0.9/1.6)</f>
        <v>74.655000000000001</v>
      </c>
      <c r="Q240" s="63"/>
      <c r="R240" s="30"/>
    </row>
    <row r="241" spans="1:18" s="43" customFormat="1" ht="15.75" hidden="1">
      <c r="A241" s="259" t="str">
        <f t="shared" si="31"/>
        <v/>
      </c>
      <c r="B241" s="52">
        <v>14</v>
      </c>
      <c r="C241" s="231" t="s">
        <v>652</v>
      </c>
      <c r="D241" s="52" t="s">
        <v>270</v>
      </c>
      <c r="E241" s="77"/>
      <c r="F241" s="35"/>
      <c r="G241" s="258" t="str">
        <f t="shared" si="30"/>
        <v/>
      </c>
      <c r="J241" s="73"/>
      <c r="K241" s="63"/>
      <c r="L241" s="63"/>
      <c r="M241" s="223">
        <f>N241*2</f>
        <v>77.962499999999991</v>
      </c>
      <c r="N241" s="223">
        <f>P241*O241</f>
        <v>38.981249999999996</v>
      </c>
      <c r="O241" s="43">
        <v>1.65</v>
      </c>
      <c r="P241" s="233">
        <f>42*0.9/1.6</f>
        <v>23.625</v>
      </c>
      <c r="Q241" s="63"/>
      <c r="R241" s="30"/>
    </row>
    <row r="242" spans="1:18" s="43" customFormat="1" ht="15.75" hidden="1">
      <c r="A242" s="259" t="str">
        <f t="shared" si="31"/>
        <v/>
      </c>
      <c r="B242" s="52">
        <v>14</v>
      </c>
      <c r="C242" s="231" t="s">
        <v>654</v>
      </c>
      <c r="D242" s="52" t="s">
        <v>270</v>
      </c>
      <c r="E242" s="77"/>
      <c r="F242" s="35"/>
      <c r="G242" s="258" t="str">
        <f t="shared" si="30"/>
        <v/>
      </c>
      <c r="J242" s="73"/>
      <c r="K242" s="63"/>
      <c r="L242" s="63"/>
      <c r="M242" s="223">
        <f>N242*2</f>
        <v>681.37957317073176</v>
      </c>
      <c r="N242" s="223">
        <f>P242*O242</f>
        <v>340.68978658536588</v>
      </c>
      <c r="O242" s="43">
        <v>1.65</v>
      </c>
      <c r="P242" s="233">
        <f>301/0.82*0.9/1.6</f>
        <v>206.47865853658539</v>
      </c>
      <c r="Q242" s="63"/>
      <c r="R242" s="30"/>
    </row>
    <row r="243" spans="1:18" s="43" customFormat="1" ht="15.75" hidden="1">
      <c r="A243" s="52"/>
      <c r="B243" s="52"/>
      <c r="C243" s="231"/>
      <c r="D243" s="52"/>
      <c r="E243" s="77"/>
      <c r="F243" s="35"/>
      <c r="G243" s="258"/>
      <c r="H243" s="242"/>
      <c r="J243" s="73"/>
      <c r="K243" s="63"/>
      <c r="L243" s="63"/>
      <c r="Q243" s="63"/>
      <c r="R243" s="30"/>
    </row>
    <row r="244" spans="1:18" s="43" customFormat="1" ht="15.75" hidden="1">
      <c r="A244" s="52"/>
      <c r="B244" s="52">
        <v>14</v>
      </c>
      <c r="C244" s="235" t="s">
        <v>656</v>
      </c>
      <c r="D244" s="52"/>
      <c r="E244" s="255" t="str">
        <f>IF(ISBLANK(A244),"",SUM(G245:G259)+SUM(G286:G387))</f>
        <v/>
      </c>
      <c r="F244" s="35" t="s">
        <v>663</v>
      </c>
      <c r="G244" s="258"/>
      <c r="H244" s="242"/>
      <c r="J244" s="73"/>
      <c r="K244" s="63"/>
      <c r="L244" s="63"/>
      <c r="Q244" s="63"/>
      <c r="R244" s="30"/>
    </row>
    <row r="245" spans="1:18" s="43" customFormat="1" ht="15.75" hidden="1">
      <c r="A245" s="257" t="str">
        <f>IF(ISBLANK(A244),"","-")</f>
        <v/>
      </c>
      <c r="B245" s="52">
        <v>14</v>
      </c>
      <c r="C245" s="260" t="str">
        <f>"- Steel Shell Cab"&amp;IF(A286&gt;0," (See upgrade below)"," (16 gauge steel)")&amp;IF(SUM($A$293:$A$298)&gt;0," with Optional Panels selected below"," with Plastic Laminate Panels")</f>
        <v>- Steel Shell Cab (16 gauge steel) with Plastic Laminate Panels</v>
      </c>
      <c r="D245" s="52" t="s">
        <v>270</v>
      </c>
      <c r="E245" s="255"/>
      <c r="F245" s="35"/>
      <c r="G245" s="258" t="str">
        <f t="shared" ref="G245:G259" si="32">IF(A245="","",(M245*(1-$H$3)))</f>
        <v/>
      </c>
      <c r="J245" s="73"/>
      <c r="K245" s="63"/>
      <c r="L245" s="63"/>
      <c r="M245" s="223">
        <f>N245*2</f>
        <v>7376.4658536585357</v>
      </c>
      <c r="N245" s="223">
        <f>P245*O245</f>
        <v>3688.2329268292679</v>
      </c>
      <c r="O245" s="43">
        <v>1.65</v>
      </c>
      <c r="P245" s="233">
        <f>(2298+(($G$12-22)*140)+300/0.82+750)*0.9/1.6</f>
        <v>2235.292682926829</v>
      </c>
      <c r="Q245" s="63"/>
      <c r="R245" s="30"/>
    </row>
    <row r="246" spans="1:18" s="43" customFormat="1" ht="15.75" hidden="1">
      <c r="A246" s="259" t="str">
        <f>A245</f>
        <v/>
      </c>
      <c r="B246" s="52">
        <v>14</v>
      </c>
      <c r="C246" s="35" t="str">
        <f>IF(SUM($A$306:$A$311)&gt;0,"- See Optional Frieze selected below","- Frieze: #4 S/S")</f>
        <v>- Frieze: #4 S/S</v>
      </c>
      <c r="D246" s="52" t="s">
        <v>270</v>
      </c>
      <c r="E246" s="77"/>
      <c r="F246" s="87"/>
      <c r="G246" s="258" t="str">
        <f t="shared" si="32"/>
        <v/>
      </c>
      <c r="J246" s="73"/>
      <c r="K246" s="63"/>
      <c r="L246" s="63"/>
      <c r="M246" s="223">
        <f t="shared" ref="M246:M252" si="33">N246*2</f>
        <v>2804.7937499999998</v>
      </c>
      <c r="N246" s="223">
        <f>P246*O246</f>
        <v>1402.3968749999999</v>
      </c>
      <c r="O246" s="43">
        <v>1.65</v>
      </c>
      <c r="P246" s="233">
        <f>IF(SUM($A$306:$A$311)&gt;0,0,$G$12*122/2*0.9/1.6 - 75*0.9/1.6)</f>
        <v>849.9375</v>
      </c>
      <c r="Q246" s="63"/>
      <c r="R246" s="30"/>
    </row>
    <row r="247" spans="1:18" s="43" customFormat="1" ht="15.75" hidden="1">
      <c r="A247" s="259" t="str">
        <f>A246</f>
        <v/>
      </c>
      <c r="B247" s="52">
        <v>14</v>
      </c>
      <c r="C247" s="35" t="str">
        <f>IF(SUM($A$312:$A$317)&gt;0,"- See Optional Reveal selected below","- Reveals: #4 S/S")</f>
        <v>- Reveals: #4 S/S</v>
      </c>
      <c r="D247" s="52" t="s">
        <v>270</v>
      </c>
      <c r="E247" s="77"/>
      <c r="F247" s="87"/>
      <c r="G247" s="258" t="str">
        <f t="shared" si="32"/>
        <v/>
      </c>
      <c r="J247" s="73"/>
      <c r="K247" s="63"/>
      <c r="L247" s="63"/>
      <c r="M247" s="223">
        <f t="shared" si="33"/>
        <v>2804.7937499999998</v>
      </c>
      <c r="N247" s="223">
        <f t="shared" ref="N247:N252" si="34">P247*O247</f>
        <v>1402.3968749999999</v>
      </c>
      <c r="O247" s="43">
        <v>1.65</v>
      </c>
      <c r="P247" s="233">
        <f>IF(SUM($A$312:$A$317)&gt;0,0,$G$12*122/2*0.9/1.6 - 75*0.9/1.6)</f>
        <v>849.9375</v>
      </c>
      <c r="Q247" s="63"/>
      <c r="R247" s="30"/>
    </row>
    <row r="248" spans="1:18" s="43" customFormat="1" ht="15.75" hidden="1">
      <c r="A248" s="259" t="str">
        <f>A247</f>
        <v/>
      </c>
      <c r="B248" s="52">
        <v>14</v>
      </c>
      <c r="C248" s="35" t="str">
        <f>IF(SUM($A$319:$A$323)&gt;0,"- See Optional Base selected below","- Base:  #4 S/S")</f>
        <v>- Base:  #4 S/S</v>
      </c>
      <c r="D248" s="52" t="s">
        <v>270</v>
      </c>
      <c r="E248" s="77"/>
      <c r="F248" s="35"/>
      <c r="G248" s="258" t="str">
        <f t="shared" si="32"/>
        <v/>
      </c>
      <c r="J248" s="73"/>
      <c r="K248" s="63"/>
      <c r="L248" s="63"/>
      <c r="M248" s="223">
        <f t="shared" si="33"/>
        <v>277.54649999999998</v>
      </c>
      <c r="N248" s="223">
        <f t="shared" si="34"/>
        <v>138.77324999999999</v>
      </c>
      <c r="O248" s="43">
        <v>1.65</v>
      </c>
      <c r="P248" s="233">
        <f>IF(SUM($A$319:$A$323)&gt;0,0,149.52*0.9/1.6)</f>
        <v>84.105000000000004</v>
      </c>
      <c r="Q248" s="63"/>
      <c r="R248" s="30"/>
    </row>
    <row r="249" spans="1:18" s="43" customFormat="1" ht="15.75" hidden="1">
      <c r="A249" s="259" t="str">
        <f>A248</f>
        <v/>
      </c>
      <c r="B249" s="52">
        <v>14</v>
      </c>
      <c r="C249" s="35" t="str">
        <f>IF(SUM($A$325:$A$328)&gt;0,"- See Optional Ceiling selected below","- Ceiling:  Downlight LED with #4 S/S Finish")</f>
        <v>- Ceiling:  Downlight LED with #4 S/S Finish</v>
      </c>
      <c r="D249" s="52" t="s">
        <v>270</v>
      </c>
      <c r="E249" s="77"/>
      <c r="F249" s="35"/>
      <c r="G249" s="258" t="str">
        <f t="shared" si="32"/>
        <v/>
      </c>
      <c r="J249" s="73"/>
      <c r="K249" s="63"/>
      <c r="L249" s="63"/>
      <c r="M249" s="223">
        <f t="shared" si="33"/>
        <v>5145.6976744186049</v>
      </c>
      <c r="N249" s="223">
        <f t="shared" si="34"/>
        <v>2572.8488372093025</v>
      </c>
      <c r="O249" s="43">
        <v>1.65</v>
      </c>
      <c r="P249" s="233">
        <f>IF(SUM($A$325:$A$328)&gt;0,0,2384/0.86*0.9/1.6)</f>
        <v>1559.3023255813955</v>
      </c>
      <c r="Q249" s="63"/>
      <c r="R249" s="30"/>
    </row>
    <row r="250" spans="1:18" s="43" customFormat="1" ht="15.75" hidden="1">
      <c r="A250" s="259" t="str">
        <f t="shared" ref="A250:A259" si="35">A249</f>
        <v/>
      </c>
      <c r="B250" s="52">
        <v>14</v>
      </c>
      <c r="C250" s="35" t="str">
        <f>IF(SUM($A$330:$A$337)&gt;0,"- See Optional Fronts selected below","- Fronts:  Swing Returns in #4 S/S  Front")</f>
        <v>- Fronts:  Swing Returns in #4 S/S  Front</v>
      </c>
      <c r="D250" s="52" t="s">
        <v>270</v>
      </c>
      <c r="E250" s="77"/>
      <c r="F250" s="35"/>
      <c r="G250" s="258" t="str">
        <f t="shared" si="32"/>
        <v/>
      </c>
      <c r="J250" s="73"/>
      <c r="K250" s="63"/>
      <c r="L250" s="63"/>
      <c r="M250" s="223">
        <f t="shared" si="33"/>
        <v>1652.8049999999998</v>
      </c>
      <c r="N250" s="223">
        <f t="shared" si="34"/>
        <v>826.40249999999992</v>
      </c>
      <c r="O250" s="43">
        <v>1.65</v>
      </c>
      <c r="P250" s="233">
        <f>IF(SUM($A$330:$A$337)&gt;0,0,890.4*0.9/1.6)</f>
        <v>500.84999999999997</v>
      </c>
      <c r="Q250" s="63"/>
      <c r="R250" s="30"/>
    </row>
    <row r="251" spans="1:18" s="43" customFormat="1" ht="15.75" hidden="1">
      <c r="A251" s="259" t="str">
        <f t="shared" si="35"/>
        <v/>
      </c>
      <c r="B251" s="52">
        <v>14</v>
      </c>
      <c r="C251" s="35" t="str">
        <f>IF(SUM($A$330:$A$337)&gt;0,"- See Optional Fronts selected below","- Fronts:  Swing Returns in #4 S/S  Rear")</f>
        <v>- Fronts:  Swing Returns in #4 S/S  Rear</v>
      </c>
      <c r="D251" s="52" t="s">
        <v>270</v>
      </c>
      <c r="E251" s="77"/>
      <c r="F251" s="35"/>
      <c r="G251" s="258" t="str">
        <f t="shared" si="32"/>
        <v/>
      </c>
      <c r="J251" s="73"/>
      <c r="K251" s="63"/>
      <c r="L251" s="63"/>
      <c r="M251" s="223">
        <f t="shared" si="33"/>
        <v>1652.8049999999998</v>
      </c>
      <c r="N251" s="223">
        <f t="shared" si="34"/>
        <v>826.40249999999992</v>
      </c>
      <c r="O251" s="43">
        <v>1.65</v>
      </c>
      <c r="P251" s="233">
        <f>IF(SUM($A$330:$A$337)&gt;0,0,890.4*0.9/1.6)</f>
        <v>500.84999999999997</v>
      </c>
      <c r="Q251" s="63"/>
      <c r="R251" s="30"/>
    </row>
    <row r="252" spans="1:18" s="43" customFormat="1" ht="15.75" hidden="1">
      <c r="A252" s="259" t="str">
        <f t="shared" si="35"/>
        <v/>
      </c>
      <c r="B252" s="52">
        <v>14</v>
      </c>
      <c r="C252" s="35" t="str">
        <f>IF(SUM($A$340:$A$361)&gt;0,"- See Optional Handrail(s) selected below","- Handrail: Cylindrical 1 1/2'' Continuous #4 S/S (side walls (2))")</f>
        <v>- Handrail: Cylindrical 1 1/2'' Continuous #4 S/S (side walls (2))</v>
      </c>
      <c r="D252" s="52" t="s">
        <v>270</v>
      </c>
      <c r="E252" s="77"/>
      <c r="F252" s="35"/>
      <c r="G252" s="258" t="str">
        <f t="shared" si="32"/>
        <v/>
      </c>
      <c r="J252" s="73"/>
      <c r="K252" s="63"/>
      <c r="L252" s="63"/>
      <c r="M252" s="223">
        <f t="shared" si="33"/>
        <v>606.67682926829264</v>
      </c>
      <c r="N252" s="223">
        <f t="shared" si="34"/>
        <v>303.33841463414632</v>
      </c>
      <c r="O252" s="43">
        <v>1.65</v>
      </c>
      <c r="P252" s="233">
        <f>IF(SUM($A$340:$A$361)&gt;0,0,134/0.82*0.9/1.6*2)</f>
        <v>183.84146341463415</v>
      </c>
      <c r="Q252" s="63"/>
      <c r="R252" s="30"/>
    </row>
    <row r="253" spans="1:18" s="43" customFormat="1" ht="15.75" hidden="1">
      <c r="A253" s="259" t="str">
        <f t="shared" si="35"/>
        <v/>
      </c>
      <c r="B253" s="52">
        <v>14</v>
      </c>
      <c r="C253" s="35" t="str">
        <f>IF(SUM($A$381)&gt;0,"- See Optional Front Car Door selected below","- Front Car Door ("&amp;$C$9&amp;") #4 S/S")</f>
        <v>- Front Car Door () #4 S/S</v>
      </c>
      <c r="D253" s="52" t="s">
        <v>270</v>
      </c>
      <c r="E253" s="73"/>
      <c r="F253" s="35"/>
      <c r="G253" s="258" t="str">
        <f t="shared" si="32"/>
        <v/>
      </c>
      <c r="J253" s="73"/>
      <c r="K253" s="63"/>
      <c r="L253" s="63"/>
      <c r="M253" s="247" t="e">
        <f>IF(SUM($A$381)&gt;0,0,HLOOKUP($C$9,$T$196:$W$207,4,FALSE))</f>
        <v>#N/A</v>
      </c>
      <c r="N253" s="43" t="s">
        <v>650</v>
      </c>
      <c r="Q253" s="63"/>
      <c r="R253" s="30"/>
    </row>
    <row r="254" spans="1:18" s="43" customFormat="1" ht="15.75" hidden="1">
      <c r="A254" s="259" t="str">
        <f t="shared" si="35"/>
        <v/>
      </c>
      <c r="B254" s="52">
        <v>14</v>
      </c>
      <c r="C254" s="35" t="str">
        <f>IF(SUM($A$382)&gt;0,"- See Optional Rear Car Door selected below","- Rear Car Door ("&amp;$C$10&amp;") #4 S/S")</f>
        <v>- Rear Car Door () #4 S/S</v>
      </c>
      <c r="D254" s="52" t="s">
        <v>270</v>
      </c>
      <c r="E254" s="73"/>
      <c r="F254" s="35"/>
      <c r="G254" s="258" t="str">
        <f t="shared" si="32"/>
        <v/>
      </c>
      <c r="J254" s="73"/>
      <c r="K254" s="63"/>
      <c r="L254" s="63"/>
      <c r="M254" s="247" t="e">
        <f>IF(SUM($A$381)&gt;0,0,HLOOKUP($C$10,$T$196:$W$207,4,FALSE))</f>
        <v>#N/A</v>
      </c>
      <c r="N254" s="43" t="s">
        <v>650</v>
      </c>
      <c r="Q254" s="63"/>
      <c r="R254" s="30"/>
    </row>
    <row r="255" spans="1:18" s="43" customFormat="1" ht="15.75" hidden="1">
      <c r="A255" s="259" t="str">
        <f t="shared" si="35"/>
        <v/>
      </c>
      <c r="B255" s="52">
        <v>14</v>
      </c>
      <c r="C255" s="35" t="str">
        <f>IF(SUM($A$363)&gt;0,"- See Optional Front Car Sill selected below","- Front Car Sill ("&amp;$C$9&amp;") Aluminum")</f>
        <v>- Front Car Sill () Aluminum</v>
      </c>
      <c r="D255" s="52" t="s">
        <v>270</v>
      </c>
      <c r="E255" s="77"/>
      <c r="F255" s="35"/>
      <c r="G255" s="258" t="str">
        <f t="shared" si="32"/>
        <v/>
      </c>
      <c r="J255" s="73"/>
      <c r="K255" s="63"/>
      <c r="L255" s="63"/>
      <c r="M255" s="247" t="e">
        <f>IF(SUM($A$363)&gt;0,0,HLOOKUP($C$9,$T$210:$W$213,2,FALSE))</f>
        <v>#N/A</v>
      </c>
      <c r="N255" s="43" t="s">
        <v>660</v>
      </c>
      <c r="Q255" s="63"/>
      <c r="R255" s="30"/>
    </row>
    <row r="256" spans="1:18" s="43" customFormat="1" ht="15.75" hidden="1">
      <c r="A256" s="259" t="str">
        <f t="shared" si="35"/>
        <v/>
      </c>
      <c r="B256" s="52">
        <v>14</v>
      </c>
      <c r="C256" s="35" t="str">
        <f>IF(SUM($A$364)&gt;0,"- See Optional Front Car Sill selected below","- Front Car Sill ("&amp;$C$10&amp;") Aluminum")</f>
        <v>- Front Car Sill () Aluminum</v>
      </c>
      <c r="D256" s="52" t="s">
        <v>270</v>
      </c>
      <c r="E256" s="77"/>
      <c r="F256" s="35"/>
      <c r="G256" s="258" t="str">
        <f t="shared" si="32"/>
        <v/>
      </c>
      <c r="J256" s="73"/>
      <c r="K256" s="63"/>
      <c r="L256" s="63"/>
      <c r="M256" s="247" t="e">
        <f>IF(SUM($A$363)&gt;0,0,HLOOKUP($C$10,$T$210:$W$213,2,FALSE))</f>
        <v>#N/A</v>
      </c>
      <c r="N256" s="43" t="s">
        <v>660</v>
      </c>
      <c r="Q256" s="63"/>
      <c r="R256" s="30"/>
    </row>
    <row r="257" spans="1:18" s="43" customFormat="1" ht="15.75" hidden="1">
      <c r="A257" s="259" t="str">
        <f t="shared" si="35"/>
        <v/>
      </c>
      <c r="B257" s="52">
        <v>14</v>
      </c>
      <c r="C257" s="35" t="str">
        <f>IF(SUM($A$369:$A$372)&gt;0,"- See Optional Fan selected below","- Fan:  Two Speed")</f>
        <v>- Fan:  Two Speed</v>
      </c>
      <c r="D257" s="52" t="s">
        <v>270</v>
      </c>
      <c r="E257" s="77"/>
      <c r="F257" s="35"/>
      <c r="G257" s="258" t="str">
        <f t="shared" si="32"/>
        <v/>
      </c>
      <c r="J257" s="73"/>
      <c r="K257" s="63"/>
      <c r="L257" s="63"/>
      <c r="M257" s="223">
        <f>N257*2</f>
        <v>246.36149999999998</v>
      </c>
      <c r="N257" s="223">
        <f>P257*O257</f>
        <v>123.18074999999999</v>
      </c>
      <c r="O257" s="43">
        <v>1.65</v>
      </c>
      <c r="P257" s="233">
        <f>IF(SUM($A$369:$A$372)&gt;0,0,132.72*0.9/1.6)</f>
        <v>74.655000000000001</v>
      </c>
      <c r="Q257" s="63"/>
      <c r="R257" s="30"/>
    </row>
    <row r="258" spans="1:18" s="43" customFormat="1" ht="15.75" hidden="1">
      <c r="A258" s="259" t="str">
        <f t="shared" si="35"/>
        <v/>
      </c>
      <c r="B258" s="52">
        <v>14</v>
      </c>
      <c r="C258" s="231" t="s">
        <v>652</v>
      </c>
      <c r="D258" s="52" t="s">
        <v>270</v>
      </c>
      <c r="E258" s="77"/>
      <c r="F258" s="35"/>
      <c r="G258" s="258" t="str">
        <f t="shared" si="32"/>
        <v/>
      </c>
      <c r="J258" s="73"/>
      <c r="K258" s="63"/>
      <c r="L258" s="63"/>
      <c r="M258" s="223">
        <f>N258*2</f>
        <v>77.962499999999991</v>
      </c>
      <c r="N258" s="223">
        <f>P258*O258</f>
        <v>38.981249999999996</v>
      </c>
      <c r="O258" s="43">
        <v>1.65</v>
      </c>
      <c r="P258" s="233">
        <f>42*0.9/1.6</f>
        <v>23.625</v>
      </c>
      <c r="Q258" s="63"/>
      <c r="R258" s="30"/>
    </row>
    <row r="259" spans="1:18" s="43" customFormat="1" ht="15.75" hidden="1">
      <c r="A259" s="259" t="str">
        <f t="shared" si="35"/>
        <v/>
      </c>
      <c r="B259" s="52">
        <v>14</v>
      </c>
      <c r="C259" s="231" t="s">
        <v>654</v>
      </c>
      <c r="D259" s="52" t="s">
        <v>270</v>
      </c>
      <c r="E259" s="77"/>
      <c r="F259" s="35"/>
      <c r="G259" s="258" t="str">
        <f t="shared" si="32"/>
        <v/>
      </c>
      <c r="J259" s="73"/>
      <c r="K259" s="63"/>
      <c r="L259" s="63"/>
      <c r="M259" s="223">
        <f>N259*2</f>
        <v>681.37957317073176</v>
      </c>
      <c r="N259" s="223">
        <f>P259*O259</f>
        <v>340.68978658536588</v>
      </c>
      <c r="O259" s="43">
        <v>1.65</v>
      </c>
      <c r="P259" s="233">
        <f>301/0.82*0.9/1.6</f>
        <v>206.47865853658539</v>
      </c>
      <c r="Q259" s="63"/>
      <c r="R259" s="30"/>
    </row>
    <row r="260" spans="1:18" s="43" customFormat="1" ht="15.75" hidden="1">
      <c r="A260" s="52"/>
      <c r="B260" s="52"/>
      <c r="C260" s="231"/>
      <c r="D260" s="52"/>
      <c r="E260" s="77"/>
      <c r="F260" s="35"/>
      <c r="G260" s="258"/>
      <c r="H260" s="242"/>
      <c r="J260" s="73"/>
      <c r="K260" s="63"/>
      <c r="L260" s="63"/>
      <c r="Q260" s="63"/>
      <c r="R260" s="30"/>
    </row>
    <row r="261" spans="1:18" s="43" customFormat="1" ht="15.75" hidden="1">
      <c r="A261" s="52"/>
      <c r="B261" s="52">
        <v>14</v>
      </c>
      <c r="C261" s="235" t="s">
        <v>662</v>
      </c>
      <c r="D261" s="52"/>
      <c r="E261" s="255" t="str">
        <f>IF(ISBLANK(A261),"",SUM(G262:G273)+SUM(G286:G387))</f>
        <v/>
      </c>
      <c r="F261" s="35" t="s">
        <v>663</v>
      </c>
      <c r="G261" s="258"/>
      <c r="H261" s="242"/>
      <c r="J261" s="73"/>
      <c r="K261" s="63"/>
      <c r="L261" s="63"/>
      <c r="Q261" s="63"/>
      <c r="R261" s="30"/>
    </row>
    <row r="262" spans="1:18" s="43" customFormat="1" ht="15.75" hidden="1">
      <c r="A262" s="257" t="str">
        <f>IF(ISBLANK(A261),"","-")</f>
        <v/>
      </c>
      <c r="B262" s="52">
        <v>14</v>
      </c>
      <c r="C262" s="260" t="str">
        <f>"- Steel Shell Cab"&amp;IF(A286&gt;0," (See upgrade below)"," (16 gauge steel)")&amp;IF(SUM($A$287:$A$289)&gt;0," See Optional wall finish below"," Powder Coated walls")</f>
        <v>- Steel Shell Cab (16 gauge steel) Powder Coated walls</v>
      </c>
      <c r="D262" s="52" t="s">
        <v>270</v>
      </c>
      <c r="E262" s="77"/>
      <c r="F262" s="87"/>
      <c r="G262" s="258" t="str">
        <f t="shared" ref="G262:G273" si="36">IF(A262="","",(M262*(1-$H$3)))</f>
        <v/>
      </c>
      <c r="J262" s="73"/>
      <c r="K262" s="63"/>
      <c r="L262" s="63"/>
      <c r="M262" s="223">
        <f>N262*2</f>
        <v>3697.3783536585361</v>
      </c>
      <c r="N262" s="223">
        <f>P262*O262</f>
        <v>1848.689176829268</v>
      </c>
      <c r="O262" s="43">
        <v>1.65</v>
      </c>
      <c r="P262" s="233">
        <f>(1218+(($G$12-22)*102)+300/0.82)*0.9/1.6</f>
        <v>1120.4176829268292</v>
      </c>
      <c r="Q262" s="63"/>
      <c r="R262" s="30"/>
    </row>
    <row r="263" spans="1:18" s="43" customFormat="1" ht="15.75" hidden="1">
      <c r="A263" s="259" t="str">
        <f>A262</f>
        <v/>
      </c>
      <c r="B263" s="52">
        <v>14</v>
      </c>
      <c r="C263" s="35" t="str">
        <f>IF(SUM($A$325:$A$328)&gt;0,"- See Optional Ceiling selected below","- Ceiling:  Suspended with #4 S/S frame")</f>
        <v>- Ceiling:  Suspended with #4 S/S frame</v>
      </c>
      <c r="D263" s="52" t="s">
        <v>270</v>
      </c>
      <c r="E263" s="77"/>
      <c r="F263" s="35"/>
      <c r="G263" s="258" t="str">
        <f t="shared" si="36"/>
        <v/>
      </c>
      <c r="J263" s="73"/>
      <c r="K263" s="63"/>
      <c r="L263" s="63"/>
      <c r="M263" s="223">
        <f>N263*2</f>
        <v>1799.3744999999999</v>
      </c>
      <c r="N263" s="223">
        <f>P263*O263</f>
        <v>899.68724999999995</v>
      </c>
      <c r="O263" s="43">
        <v>1.65</v>
      </c>
      <c r="P263" s="233">
        <f>IF(SUM($A$325:$A$328)&gt;0,0,969.36*0.9/1.6)</f>
        <v>545.26499999999999</v>
      </c>
      <c r="Q263" s="63"/>
      <c r="R263" s="30"/>
    </row>
    <row r="264" spans="1:18" s="43" customFormat="1" ht="15.75" hidden="1">
      <c r="A264" s="259" t="str">
        <f>A263</f>
        <v/>
      </c>
      <c r="B264" s="52">
        <v>14</v>
      </c>
      <c r="C264" s="35" t="str">
        <f>IF(SUM($A$330:$A$337)&gt;0,"- See Optional Fronts selected below","- Fronts:  Swing Returns in #4 S/S  Front")</f>
        <v>- Fronts:  Swing Returns in #4 S/S  Front</v>
      </c>
      <c r="D264" s="52" t="s">
        <v>270</v>
      </c>
      <c r="E264" s="77"/>
      <c r="F264" s="35"/>
      <c r="G264" s="258" t="str">
        <f t="shared" si="36"/>
        <v/>
      </c>
      <c r="J264" s="73"/>
      <c r="K264" s="63"/>
      <c r="L264" s="63"/>
      <c r="M264" s="223">
        <f>N264*2</f>
        <v>1652.8049999999998</v>
      </c>
      <c r="N264" s="223">
        <f>P264*O264</f>
        <v>826.40249999999992</v>
      </c>
      <c r="O264" s="43">
        <v>1.65</v>
      </c>
      <c r="P264" s="233">
        <f>IF(SUM($A$330:$A$337)&gt;0,0,890.4*0.9/1.6)</f>
        <v>500.84999999999997</v>
      </c>
      <c r="Q264" s="63"/>
      <c r="R264" s="30"/>
    </row>
    <row r="265" spans="1:18" s="43" customFormat="1" ht="15.75" hidden="1">
      <c r="A265" s="259" t="str">
        <f t="shared" ref="A265:A273" si="37">A264</f>
        <v/>
      </c>
      <c r="B265" s="52">
        <v>14</v>
      </c>
      <c r="C265" s="35" t="str">
        <f>IF(SUM($A$330:$A$337)&gt;0,"- See Optional Fronts selected below","- Fronts:  Swing Returns in #4 S/S  Rear")</f>
        <v>- Fronts:  Swing Returns in #4 S/S  Rear</v>
      </c>
      <c r="D265" s="52" t="s">
        <v>270</v>
      </c>
      <c r="E265" s="77"/>
      <c r="F265" s="35"/>
      <c r="G265" s="258" t="str">
        <f t="shared" si="36"/>
        <v/>
      </c>
      <c r="J265" s="73"/>
      <c r="K265" s="63"/>
      <c r="L265" s="63"/>
      <c r="M265" s="223">
        <f>N265*2</f>
        <v>1652.8049999999998</v>
      </c>
      <c r="N265" s="223">
        <f>P265*O265</f>
        <v>826.40249999999992</v>
      </c>
      <c r="O265" s="43">
        <v>1.65</v>
      </c>
      <c r="P265" s="233">
        <f>IF(SUM($A$330:$A$337)&gt;0,0,890.4*0.9/1.6)</f>
        <v>500.84999999999997</v>
      </c>
      <c r="Q265" s="63"/>
      <c r="R265" s="30"/>
    </row>
    <row r="266" spans="1:18" s="43" customFormat="1" ht="15.75" hidden="1">
      <c r="A266" s="259" t="str">
        <f t="shared" si="37"/>
        <v/>
      </c>
      <c r="B266" s="52">
        <v>14</v>
      </c>
      <c r="C266" s="35" t="str">
        <f>IF(SUM($A$340:$A$361)&gt;0,"- See Optional Handrail(s) selected below","- Handrail: Cylindrical 1 1/2'' Continuous #4 S/S (side walls (2))")</f>
        <v>- Handrail: Cylindrical 1 1/2'' Continuous #4 S/S (side walls (2))</v>
      </c>
      <c r="D266" s="52" t="s">
        <v>270</v>
      </c>
      <c r="E266" s="77"/>
      <c r="F266" s="35"/>
      <c r="G266" s="258" t="str">
        <f t="shared" si="36"/>
        <v/>
      </c>
      <c r="J266" s="73"/>
      <c r="K266" s="63"/>
      <c r="L266" s="63"/>
      <c r="M266" s="223">
        <f>N266*2</f>
        <v>606.67682926829264</v>
      </c>
      <c r="N266" s="223">
        <f>P266*O266</f>
        <v>303.33841463414632</v>
      </c>
      <c r="O266" s="43">
        <v>1.65</v>
      </c>
      <c r="P266" s="233">
        <f>IF(SUM($A$340:$A$361)&gt;0,0,134/0.82*0.9/1.6*2)</f>
        <v>183.84146341463415</v>
      </c>
      <c r="Q266" s="63"/>
      <c r="R266" s="30"/>
    </row>
    <row r="267" spans="1:18" s="43" customFormat="1" ht="15.75" hidden="1">
      <c r="A267" s="259" t="str">
        <f t="shared" si="37"/>
        <v/>
      </c>
      <c r="B267" s="52">
        <v>14</v>
      </c>
      <c r="C267" s="35" t="str">
        <f>IF(SUM($A$381)&gt;0,"- See Optional Front Car Door selected below","- Front Car Door ("&amp;$C$9&amp;") Powder Coated")</f>
        <v>- Front Car Door () Powder Coated</v>
      </c>
      <c r="D267" s="52" t="s">
        <v>270</v>
      </c>
      <c r="E267" s="73"/>
      <c r="F267" s="35"/>
      <c r="G267" s="258" t="str">
        <f t="shared" si="36"/>
        <v/>
      </c>
      <c r="J267" s="73"/>
      <c r="K267" s="63"/>
      <c r="L267" s="63"/>
      <c r="M267" s="247" t="e">
        <f>IF(SUM($A$381)&gt;0,0,HLOOKUP($C$9,$T$196:$W$207,2,FALSE))</f>
        <v>#N/A</v>
      </c>
      <c r="N267" s="82" t="s">
        <v>650</v>
      </c>
      <c r="Q267" s="63"/>
      <c r="R267" s="30"/>
    </row>
    <row r="268" spans="1:18" s="43" customFormat="1" ht="15.75" hidden="1">
      <c r="A268" s="259" t="str">
        <f t="shared" si="37"/>
        <v/>
      </c>
      <c r="B268" s="52">
        <v>14</v>
      </c>
      <c r="C268" s="35" t="str">
        <f>IF(SUM($A$382)&gt;0,"- See Optional Rear Car Door selected below","- Rear Car Door ("&amp;$C$10&amp;") Powder Coated")</f>
        <v>- Rear Car Door () Powder Coated</v>
      </c>
      <c r="D268" s="52" t="s">
        <v>270</v>
      </c>
      <c r="E268" s="73"/>
      <c r="F268" s="35"/>
      <c r="G268" s="258" t="str">
        <f t="shared" si="36"/>
        <v/>
      </c>
      <c r="J268" s="73"/>
      <c r="K268" s="63"/>
      <c r="L268" s="63"/>
      <c r="M268" s="247" t="e">
        <f>IF(SUM($A$381)&gt;0,0,HLOOKUP($C$10,$T$196:$W$207,2,FALSE))</f>
        <v>#N/A</v>
      </c>
      <c r="N268" s="82" t="s">
        <v>650</v>
      </c>
      <c r="Q268" s="63"/>
      <c r="R268" s="30"/>
    </row>
    <row r="269" spans="1:18" s="43" customFormat="1" ht="15.75" hidden="1">
      <c r="A269" s="259" t="str">
        <f t="shared" si="37"/>
        <v/>
      </c>
      <c r="B269" s="52">
        <v>14</v>
      </c>
      <c r="C269" s="35" t="str">
        <f>IF(SUM($A$363)&gt;0,"- See Optional Front Car Sill selected below","- Front Car Sill ("&amp;$C$9&amp;") Aluminum")</f>
        <v>- Front Car Sill () Aluminum</v>
      </c>
      <c r="D269" s="52" t="s">
        <v>270</v>
      </c>
      <c r="E269" s="77"/>
      <c r="F269" s="35"/>
      <c r="G269" s="258" t="str">
        <f t="shared" si="36"/>
        <v/>
      </c>
      <c r="J269" s="73"/>
      <c r="K269" s="63"/>
      <c r="L269" s="63"/>
      <c r="M269" s="247" t="e">
        <f>IF(SUM($A$363)&gt;0,0,HLOOKUP($C$9,$T$210:$W$213,2,FALSE))</f>
        <v>#N/A</v>
      </c>
      <c r="N269" s="43" t="s">
        <v>651</v>
      </c>
      <c r="Q269" s="63"/>
      <c r="R269" s="30"/>
    </row>
    <row r="270" spans="1:18" s="43" customFormat="1" ht="15.75" hidden="1">
      <c r="A270" s="259" t="str">
        <f t="shared" si="37"/>
        <v/>
      </c>
      <c r="B270" s="52">
        <v>14</v>
      </c>
      <c r="C270" s="35" t="str">
        <f>IF(SUM($A$364)&gt;0,"- See Optional Front Car Sill selected below","- Front Car Sill ("&amp;$C$10&amp;") Aluminum")</f>
        <v>- Front Car Sill () Aluminum</v>
      </c>
      <c r="D270" s="52" t="s">
        <v>270</v>
      </c>
      <c r="E270" s="77"/>
      <c r="F270" s="35"/>
      <c r="G270" s="258" t="str">
        <f t="shared" si="36"/>
        <v/>
      </c>
      <c r="J270" s="73"/>
      <c r="K270" s="63"/>
      <c r="L270" s="63"/>
      <c r="M270" s="247" t="e">
        <f>IF(SUM($A$363)&gt;0,0,HLOOKUP($C$10,$T$210:$W$213,2,FALSE))</f>
        <v>#N/A</v>
      </c>
      <c r="N270" s="43" t="s">
        <v>651</v>
      </c>
      <c r="Q270" s="63"/>
      <c r="R270" s="30"/>
    </row>
    <row r="271" spans="1:18" s="43" customFormat="1" ht="15.75" hidden="1">
      <c r="A271" s="259" t="str">
        <f t="shared" si="37"/>
        <v/>
      </c>
      <c r="B271" s="52">
        <v>14</v>
      </c>
      <c r="C271" s="35" t="str">
        <f>IF(SUM($A$369:$A$372)&gt;0,"- See Optional Fan selected below","- Fan:  Two Speed")</f>
        <v>- Fan:  Two Speed</v>
      </c>
      <c r="D271" s="52" t="s">
        <v>270</v>
      </c>
      <c r="E271" s="77"/>
      <c r="F271" s="35"/>
      <c r="G271" s="258" t="str">
        <f t="shared" si="36"/>
        <v/>
      </c>
      <c r="J271" s="73"/>
      <c r="K271" s="63"/>
      <c r="L271" s="63"/>
      <c r="M271" s="223">
        <f>N271*2</f>
        <v>246.36149999999998</v>
      </c>
      <c r="N271" s="223">
        <f>P271*O271</f>
        <v>123.18074999999999</v>
      </c>
      <c r="O271" s="43">
        <v>1.65</v>
      </c>
      <c r="P271" s="233">
        <f>IF(SUM($A$369:$A$372)&gt;0,0,132.72*0.9/1.6)</f>
        <v>74.655000000000001</v>
      </c>
      <c r="Q271" s="63"/>
      <c r="R271" s="30"/>
    </row>
    <row r="272" spans="1:18" s="43" customFormat="1" ht="15.75" hidden="1">
      <c r="A272" s="259" t="str">
        <f t="shared" si="37"/>
        <v/>
      </c>
      <c r="B272" s="52">
        <v>14</v>
      </c>
      <c r="C272" s="231" t="s">
        <v>652</v>
      </c>
      <c r="D272" s="52" t="s">
        <v>270</v>
      </c>
      <c r="E272" s="77"/>
      <c r="F272" s="35"/>
      <c r="G272" s="258" t="str">
        <f t="shared" si="36"/>
        <v/>
      </c>
      <c r="J272" s="73"/>
      <c r="K272" s="63"/>
      <c r="L272" s="63"/>
      <c r="M272" s="223">
        <f>N272*2</f>
        <v>77.962499999999991</v>
      </c>
      <c r="N272" s="223">
        <f>P272*O272</f>
        <v>38.981249999999996</v>
      </c>
      <c r="O272" s="43">
        <v>1.65</v>
      </c>
      <c r="P272" s="233">
        <f>42*0.9/1.6</f>
        <v>23.625</v>
      </c>
      <c r="Q272" s="63"/>
      <c r="R272" s="30"/>
    </row>
    <row r="273" spans="1:35" s="73" customFormat="1" ht="15.75" hidden="1">
      <c r="A273" s="259" t="str">
        <f t="shared" si="37"/>
        <v/>
      </c>
      <c r="B273" s="52">
        <v>14</v>
      </c>
      <c r="C273" s="231" t="s">
        <v>654</v>
      </c>
      <c r="D273" s="52" t="s">
        <v>270</v>
      </c>
      <c r="E273" s="77"/>
      <c r="F273" s="35"/>
      <c r="G273" s="258" t="str">
        <f t="shared" si="36"/>
        <v/>
      </c>
      <c r="I273" s="43"/>
      <c r="K273" s="63"/>
      <c r="L273" s="63"/>
      <c r="M273" s="223">
        <f>N273*2</f>
        <v>681.37957317073176</v>
      </c>
      <c r="N273" s="223">
        <f>P273*O273</f>
        <v>340.68978658536588</v>
      </c>
      <c r="O273" s="43">
        <v>1.65</v>
      </c>
      <c r="P273" s="233">
        <f>301/0.82*0.9/1.6</f>
        <v>206.47865853658539</v>
      </c>
      <c r="Q273" s="63"/>
      <c r="R273" s="30"/>
      <c r="S273" s="43"/>
      <c r="T273" s="43"/>
      <c r="U273" s="43"/>
      <c r="V273" s="43"/>
      <c r="W273" s="43"/>
      <c r="X273" s="43"/>
      <c r="Y273" s="43"/>
      <c r="Z273" s="43"/>
      <c r="AA273" s="43"/>
      <c r="AB273" s="43"/>
      <c r="AC273" s="43"/>
      <c r="AD273" s="43"/>
      <c r="AE273" s="43"/>
      <c r="AF273" s="43"/>
      <c r="AG273" s="43"/>
      <c r="AH273" s="43"/>
      <c r="AI273" s="43"/>
    </row>
    <row r="274" spans="1:35" s="43" customFormat="1" ht="15.75" hidden="1">
      <c r="A274" s="52"/>
      <c r="B274" s="52"/>
      <c r="C274" s="231"/>
      <c r="D274" s="52"/>
      <c r="E274" s="77"/>
      <c r="F274" s="35"/>
      <c r="G274" s="258"/>
      <c r="H274" s="242"/>
      <c r="J274" s="73"/>
      <c r="K274" s="63"/>
      <c r="L274" s="63"/>
      <c r="Q274" s="63"/>
      <c r="R274" s="30"/>
    </row>
    <row r="275" spans="1:35" s="43" customFormat="1" ht="15.75" hidden="1">
      <c r="A275" s="52"/>
      <c r="B275" s="52">
        <v>14</v>
      </c>
      <c r="C275" s="523" t="s">
        <v>664</v>
      </c>
      <c r="D275" s="523"/>
      <c r="E275" s="255" t="str">
        <f>IF(ISBLANK(A275),"",SUM(G276:G387))</f>
        <v/>
      </c>
      <c r="F275" s="35"/>
      <c r="G275" s="258"/>
      <c r="H275" s="242"/>
      <c r="J275" s="73"/>
      <c r="K275" s="63"/>
      <c r="L275" s="63"/>
      <c r="Q275" s="63"/>
      <c r="R275" s="30"/>
    </row>
    <row r="276" spans="1:35" s="43" customFormat="1" ht="15.75" hidden="1">
      <c r="A276" s="52"/>
      <c r="B276" s="52">
        <v>14</v>
      </c>
      <c r="C276" s="35" t="s">
        <v>342</v>
      </c>
      <c r="D276" s="52" t="s">
        <v>270</v>
      </c>
      <c r="E276" s="255"/>
      <c r="F276" s="235" t="s">
        <v>665</v>
      </c>
      <c r="G276" s="244" t="str">
        <f>IF(ISBLANK(A276),"",(A276*M276*(1-$H$3)))</f>
        <v/>
      </c>
      <c r="J276" s="73"/>
      <c r="K276" s="63"/>
      <c r="L276" s="63"/>
      <c r="M276" s="223">
        <f t="shared" ref="M276:M291" si="38">N276*2</f>
        <v>417.65625</v>
      </c>
      <c r="N276" s="223">
        <f>P276*O276</f>
        <v>208.828125</v>
      </c>
      <c r="O276" s="43">
        <v>1.65</v>
      </c>
      <c r="P276" s="233">
        <f>225*0.9/1.6</f>
        <v>126.5625</v>
      </c>
      <c r="Q276" s="63"/>
      <c r="R276" s="30"/>
    </row>
    <row r="277" spans="1:35" s="43" customFormat="1" ht="15.75" hidden="1">
      <c r="A277" s="52"/>
      <c r="B277" s="52">
        <v>14</v>
      </c>
      <c r="C277" s="35" t="s">
        <v>343</v>
      </c>
      <c r="D277" s="52" t="s">
        <v>270</v>
      </c>
      <c r="E277" s="255"/>
      <c r="F277" s="235" t="s">
        <v>665</v>
      </c>
      <c r="G277" s="244" t="str">
        <f t="shared" ref="G277:G340" si="39">IF(ISBLANK(A277),"",(A277*M277*(1-$H$3)))</f>
        <v/>
      </c>
      <c r="J277" s="73"/>
      <c r="K277" s="63"/>
      <c r="L277" s="63"/>
      <c r="M277" s="223">
        <f t="shared" si="38"/>
        <v>967.10624999999993</v>
      </c>
      <c r="N277" s="223">
        <f t="shared" ref="N277:N284" si="40">P277*O277</f>
        <v>483.55312499999997</v>
      </c>
      <c r="O277" s="43">
        <v>1.65</v>
      </c>
      <c r="P277" s="233">
        <f>521*0.9/1.6</f>
        <v>293.0625</v>
      </c>
      <c r="Q277" s="63"/>
      <c r="R277" s="30"/>
      <c r="S277" s="73"/>
      <c r="T277" s="73"/>
      <c r="U277" s="73"/>
      <c r="V277" s="73"/>
      <c r="W277" s="73"/>
      <c r="X277" s="73"/>
      <c r="Y277" s="73"/>
      <c r="Z277" s="73"/>
      <c r="AA277" s="73"/>
      <c r="AB277" s="73"/>
      <c r="AC277" s="73"/>
      <c r="AD277" s="73"/>
      <c r="AE277" s="73"/>
      <c r="AF277" s="73"/>
      <c r="AG277" s="73"/>
      <c r="AH277" s="73"/>
      <c r="AI277" s="73"/>
    </row>
    <row r="278" spans="1:35" s="43" customFormat="1" ht="15.75" hidden="1">
      <c r="A278" s="52"/>
      <c r="B278" s="52">
        <v>14</v>
      </c>
      <c r="C278" s="35" t="s">
        <v>344</v>
      </c>
      <c r="D278" s="52" t="s">
        <v>270</v>
      </c>
      <c r="E278" s="255"/>
      <c r="F278" s="235" t="s">
        <v>665</v>
      </c>
      <c r="G278" s="244" t="str">
        <f t="shared" si="39"/>
        <v/>
      </c>
      <c r="J278" s="73"/>
      <c r="K278" s="63"/>
      <c r="L278" s="63"/>
      <c r="M278" s="223">
        <f t="shared" si="38"/>
        <v>1232.55</v>
      </c>
      <c r="N278" s="223">
        <f t="shared" si="40"/>
        <v>616.27499999999998</v>
      </c>
      <c r="O278" s="43">
        <v>1.65</v>
      </c>
      <c r="P278" s="233">
        <f>664*0.9/1.6</f>
        <v>373.5</v>
      </c>
      <c r="Q278" s="63"/>
      <c r="R278" s="30"/>
    </row>
    <row r="279" spans="1:35" s="43" customFormat="1" ht="15.75" hidden="1">
      <c r="A279" s="52"/>
      <c r="B279" s="52">
        <v>14</v>
      </c>
      <c r="C279" s="35" t="s">
        <v>345</v>
      </c>
      <c r="D279" s="52" t="s">
        <v>270</v>
      </c>
      <c r="E279" s="255"/>
      <c r="F279" s="235" t="s">
        <v>665</v>
      </c>
      <c r="G279" s="244" t="str">
        <f t="shared" si="39"/>
        <v/>
      </c>
      <c r="J279" s="73"/>
      <c r="K279" s="63"/>
      <c r="L279" s="63"/>
      <c r="M279" s="223">
        <f t="shared" si="38"/>
        <v>705.375</v>
      </c>
      <c r="N279" s="223">
        <f t="shared" si="40"/>
        <v>352.6875</v>
      </c>
      <c r="O279" s="43">
        <v>1.65</v>
      </c>
      <c r="P279" s="233">
        <f>380*0.9/1.6</f>
        <v>213.75</v>
      </c>
      <c r="Q279" s="63"/>
      <c r="R279" s="30"/>
    </row>
    <row r="280" spans="1:35" s="43" customFormat="1" ht="15.75" hidden="1">
      <c r="A280" s="52"/>
      <c r="B280" s="52">
        <v>14</v>
      </c>
      <c r="C280" s="35" t="s">
        <v>346</v>
      </c>
      <c r="D280" s="52" t="s">
        <v>270</v>
      </c>
      <c r="E280" s="255"/>
      <c r="F280" s="235" t="s">
        <v>665</v>
      </c>
      <c r="G280" s="244" t="str">
        <f t="shared" si="39"/>
        <v/>
      </c>
      <c r="J280" s="73"/>
      <c r="K280" s="63"/>
      <c r="L280" s="63"/>
      <c r="M280" s="223">
        <f t="shared" si="38"/>
        <v>668.25</v>
      </c>
      <c r="N280" s="223">
        <f t="shared" si="40"/>
        <v>334.125</v>
      </c>
      <c r="O280" s="43">
        <v>1.65</v>
      </c>
      <c r="P280" s="233">
        <f>360*0.9/1.6</f>
        <v>202.5</v>
      </c>
      <c r="Q280" s="63"/>
      <c r="R280" s="30"/>
    </row>
    <row r="281" spans="1:35" s="43" customFormat="1" ht="15.75" hidden="1">
      <c r="A281" s="52"/>
      <c r="B281" s="52">
        <v>14</v>
      </c>
      <c r="C281" s="35" t="s">
        <v>666</v>
      </c>
      <c r="D281" s="52" t="s">
        <v>270</v>
      </c>
      <c r="E281" s="255"/>
      <c r="F281" s="235" t="s">
        <v>665</v>
      </c>
      <c r="G281" s="244" t="str">
        <f t="shared" si="39"/>
        <v/>
      </c>
      <c r="J281" s="73"/>
      <c r="K281" s="63"/>
      <c r="L281" s="63"/>
      <c r="M281" s="223">
        <f t="shared" si="38"/>
        <v>696.09375</v>
      </c>
      <c r="N281" s="223">
        <f t="shared" si="40"/>
        <v>348.046875</v>
      </c>
      <c r="O281" s="43">
        <v>1.65</v>
      </c>
      <c r="P281" s="233">
        <f>375*0.9/1.6</f>
        <v>210.9375</v>
      </c>
      <c r="Q281" s="63"/>
      <c r="R281" s="30"/>
    </row>
    <row r="282" spans="1:35" s="43" customFormat="1" ht="15.75" hidden="1">
      <c r="A282" s="52"/>
      <c r="B282" s="52">
        <v>14</v>
      </c>
      <c r="C282" s="35" t="s">
        <v>667</v>
      </c>
      <c r="D282" s="52" t="s">
        <v>270</v>
      </c>
      <c r="E282" s="255"/>
      <c r="F282" s="235" t="s">
        <v>665</v>
      </c>
      <c r="G282" s="244" t="str">
        <f t="shared" si="39"/>
        <v/>
      </c>
      <c r="J282" s="73"/>
      <c r="K282" s="63"/>
      <c r="L282" s="63"/>
      <c r="M282" s="223">
        <f t="shared" si="38"/>
        <v>2598.75</v>
      </c>
      <c r="N282" s="223">
        <f t="shared" si="40"/>
        <v>1299.375</v>
      </c>
      <c r="O282" s="43">
        <v>1.65</v>
      </c>
      <c r="P282" s="233">
        <f>1400*0.9/1.6</f>
        <v>787.5</v>
      </c>
      <c r="Q282" s="63"/>
      <c r="R282" s="30"/>
    </row>
    <row r="283" spans="1:35" s="43" customFormat="1" ht="15.75" hidden="1">
      <c r="A283" s="52"/>
      <c r="B283" s="52">
        <v>14</v>
      </c>
      <c r="C283" s="35" t="s">
        <v>347</v>
      </c>
      <c r="D283" s="52" t="s">
        <v>270</v>
      </c>
      <c r="E283" s="255"/>
      <c r="F283" s="235" t="s">
        <v>665</v>
      </c>
      <c r="G283" s="244" t="str">
        <f t="shared" si="39"/>
        <v/>
      </c>
      <c r="J283" s="73"/>
      <c r="K283" s="63"/>
      <c r="L283" s="63"/>
      <c r="M283" s="223">
        <f t="shared" si="38"/>
        <v>2598.75</v>
      </c>
      <c r="N283" s="223">
        <f t="shared" si="40"/>
        <v>1299.375</v>
      </c>
      <c r="O283" s="43">
        <v>1.65</v>
      </c>
      <c r="P283" s="233">
        <f>1400*0.9/1.6</f>
        <v>787.5</v>
      </c>
      <c r="Q283" s="63"/>
      <c r="R283" s="30"/>
    </row>
    <row r="284" spans="1:35" s="43" customFormat="1" ht="15.75" hidden="1">
      <c r="A284" s="52"/>
      <c r="B284" s="52">
        <v>14</v>
      </c>
      <c r="C284" s="35" t="s">
        <v>348</v>
      </c>
      <c r="D284" s="52" t="s">
        <v>270</v>
      </c>
      <c r="E284" s="255"/>
      <c r="F284" s="235" t="s">
        <v>665</v>
      </c>
      <c r="G284" s="244" t="str">
        <f t="shared" si="39"/>
        <v/>
      </c>
      <c r="J284" s="73"/>
      <c r="K284" s="63"/>
      <c r="L284" s="63"/>
      <c r="M284" s="223">
        <f t="shared" si="38"/>
        <v>2970</v>
      </c>
      <c r="N284" s="223">
        <f t="shared" si="40"/>
        <v>1485</v>
      </c>
      <c r="O284" s="43">
        <v>1.65</v>
      </c>
      <c r="P284" s="233">
        <f>1600*0.9/1.6</f>
        <v>900</v>
      </c>
      <c r="Q284" s="63"/>
      <c r="R284" s="30"/>
    </row>
    <row r="285" spans="1:35" s="43" customFormat="1" ht="15.75" hidden="1">
      <c r="A285" s="263" t="str">
        <f>IF(AND(OR($A$194&gt;0,$A$205&gt;0,$A$219&gt;0,$A$230&gt;0,$A$244&gt;0,$A$261&gt;0,$A$275&gt;0),SUM(A286:A387)&gt;0),"-","")</f>
        <v/>
      </c>
      <c r="B285" s="52"/>
      <c r="C285" s="264" t="str">
        <f>IF(AND(OR($A$194&gt;0,$A$205&gt;0,$A$219&gt;0,$A$230&gt;0,$A$244&gt;0,$A$261&gt;0,$A$275&gt;0),SUM(A286:A387)&gt;0),"The following options have been included","")</f>
        <v/>
      </c>
      <c r="D285" s="52"/>
      <c r="E285" s="255"/>
      <c r="F285" s="235"/>
      <c r="G285" s="244"/>
      <c r="H285" s="242"/>
      <c r="J285" s="73"/>
      <c r="K285" s="63"/>
      <c r="L285" s="63"/>
      <c r="Q285" s="63"/>
      <c r="R285" s="30"/>
    </row>
    <row r="286" spans="1:35" s="43" customFormat="1" ht="15.75" hidden="1">
      <c r="A286" s="52"/>
      <c r="B286" s="52">
        <v>14</v>
      </c>
      <c r="C286" s="35" t="s">
        <v>668</v>
      </c>
      <c r="D286" s="52" t="str">
        <f>IF(E286="","Option Selctd.","")</f>
        <v>Option Selctd.</v>
      </c>
      <c r="E286" s="77" t="str">
        <f>IF(AND(AND(ISBLANK($A$194),ISBLANK($A$205),ISBLANK($A$219),ISBLANK($A$230),ISBLANK($A$244),ISBLANK($A$261),ISBLANK($A$275)),A286&gt;0),G286,"")</f>
        <v/>
      </c>
      <c r="F286" s="235" t="s">
        <v>669</v>
      </c>
      <c r="G286" s="244" t="str">
        <f t="shared" si="39"/>
        <v/>
      </c>
      <c r="J286" s="73"/>
      <c r="K286" s="63"/>
      <c r="L286" s="63"/>
      <c r="M286" s="223">
        <f t="shared" si="38"/>
        <v>452.73937499999965</v>
      </c>
      <c r="N286" s="223">
        <f t="shared" ref="N286:N291" si="41">P286*O286</f>
        <v>226.36968749999983</v>
      </c>
      <c r="O286" s="43">
        <v>1.65</v>
      </c>
      <c r="P286" s="233">
        <f>((1218+(($G$12-22)*102))*1.15*0.9/1.6+300/0.82*0.9/1.6)-((1218+(($G$12-22)*102))*0.9/1.6+300/0.82*0.9/1.6)</f>
        <v>137.19374999999991</v>
      </c>
      <c r="Q286" s="63"/>
      <c r="R286" s="30"/>
    </row>
    <row r="287" spans="1:35" s="43" customFormat="1" ht="15.75" hidden="1">
      <c r="A287" s="52"/>
      <c r="B287" s="52">
        <v>14</v>
      </c>
      <c r="C287" s="35" t="s">
        <v>670</v>
      </c>
      <c r="D287" s="52" t="str">
        <f t="shared" ref="D287:D353" si="42">IF(E287="","Option Selctd.","")</f>
        <v>Option Selctd.</v>
      </c>
      <c r="E287" s="77" t="str">
        <f t="shared" ref="E287:E323" si="43">IF(AND(AND(ISBLANK($A$194),ISBLANK($A$205),ISBLANK($A$219),ISBLANK($A$230),ISBLANK($A$244),ISBLANK($A$261),ISBLANK($A$275)),A287&gt;0),G287,"")</f>
        <v/>
      </c>
      <c r="F287" s="235" t="s">
        <v>671</v>
      </c>
      <c r="G287" s="244" t="str">
        <f t="shared" si="39"/>
        <v/>
      </c>
      <c r="J287" s="73"/>
      <c r="K287" s="63"/>
      <c r="L287" s="63"/>
      <c r="M287" s="223">
        <f t="shared" si="38"/>
        <v>5888.0249999999996</v>
      </c>
      <c r="N287" s="223">
        <f t="shared" si="41"/>
        <v>2944.0124999999998</v>
      </c>
      <c r="O287" s="43">
        <v>1.65</v>
      </c>
      <c r="P287" s="233">
        <f>$G$12*122*0.9/1.6</f>
        <v>1784.25</v>
      </c>
      <c r="Q287" s="63"/>
      <c r="R287" s="30"/>
    </row>
    <row r="288" spans="1:35" s="43" customFormat="1" ht="15.75" hidden="1">
      <c r="A288" s="52"/>
      <c r="B288" s="52">
        <v>14</v>
      </c>
      <c r="C288" s="43" t="s">
        <v>672</v>
      </c>
      <c r="D288" s="52" t="str">
        <f>IF(E288="","Option Selctd.","")</f>
        <v>Option Selctd.</v>
      </c>
      <c r="E288" s="77" t="str">
        <f t="shared" si="43"/>
        <v/>
      </c>
      <c r="F288" s="235" t="s">
        <v>671</v>
      </c>
      <c r="G288" s="244" t="str">
        <f t="shared" si="39"/>
        <v/>
      </c>
      <c r="J288" s="73"/>
      <c r="K288" s="63"/>
      <c r="L288" s="63"/>
      <c r="M288" s="223">
        <f t="shared" si="38"/>
        <v>8714.2769999999982</v>
      </c>
      <c r="N288" s="223">
        <f t="shared" si="41"/>
        <v>4357.1384999999991</v>
      </c>
      <c r="O288" s="43">
        <v>1.65</v>
      </c>
      <c r="P288" s="233">
        <f>$G$12*122*1.48*0.9/1.6</f>
        <v>2640.6899999999996</v>
      </c>
      <c r="Q288" s="63"/>
      <c r="R288" s="30"/>
    </row>
    <row r="289" spans="1:256" s="43" customFormat="1" ht="15.75" hidden="1" customHeight="1">
      <c r="A289" s="52"/>
      <c r="B289" s="52">
        <v>14</v>
      </c>
      <c r="C289" s="35" t="s">
        <v>673</v>
      </c>
      <c r="D289" s="52" t="str">
        <f t="shared" si="42"/>
        <v>Option Selctd.</v>
      </c>
      <c r="E289" s="77" t="str">
        <f t="shared" si="43"/>
        <v/>
      </c>
      <c r="F289" s="235" t="s">
        <v>671</v>
      </c>
      <c r="G289" s="244" t="str">
        <f t="shared" si="39"/>
        <v/>
      </c>
      <c r="J289" s="73"/>
      <c r="K289" s="63"/>
      <c r="L289" s="63"/>
      <c r="M289" s="223">
        <f t="shared" si="38"/>
        <v>9362.9249999999993</v>
      </c>
      <c r="N289" s="223">
        <f t="shared" si="41"/>
        <v>4681.4624999999996</v>
      </c>
      <c r="O289" s="43">
        <v>1.65</v>
      </c>
      <c r="P289" s="233">
        <f>$G$12*194*0.9/1.6</f>
        <v>2837.25</v>
      </c>
      <c r="Q289" s="63"/>
      <c r="R289" s="30"/>
      <c r="AJ289" s="72"/>
      <c r="AK289" s="265"/>
      <c r="AL289" s="266"/>
      <c r="AM289" s="69"/>
      <c r="AN289" s="52"/>
      <c r="AO289" s="81"/>
      <c r="AP289" s="71"/>
      <c r="AQ289" s="80"/>
      <c r="AR289" s="72"/>
      <c r="AS289" s="265"/>
      <c r="AT289" s="266"/>
      <c r="AU289" s="69"/>
      <c r="AV289" s="52"/>
      <c r="AW289" s="81"/>
      <c r="AX289" s="71"/>
      <c r="AY289" s="80"/>
      <c r="AZ289" s="72"/>
      <c r="BA289" s="265"/>
      <c r="BB289" s="266"/>
      <c r="BC289" s="69"/>
      <c r="BD289" s="52"/>
      <c r="BE289" s="81"/>
      <c r="BF289" s="71"/>
      <c r="BG289" s="80"/>
      <c r="BH289" s="72"/>
      <c r="BI289" s="265"/>
      <c r="BJ289" s="266"/>
      <c r="BK289" s="69"/>
      <c r="BL289" s="52"/>
      <c r="BM289" s="81"/>
      <c r="BN289" s="71"/>
      <c r="BO289" s="80"/>
      <c r="BP289" s="72"/>
      <c r="BQ289" s="265"/>
      <c r="BR289" s="266"/>
      <c r="BS289" s="69"/>
      <c r="BT289" s="52"/>
      <c r="BU289" s="81"/>
      <c r="BV289" s="71"/>
      <c r="BW289" s="80"/>
      <c r="BX289" s="72"/>
      <c r="BY289" s="265"/>
      <c r="BZ289" s="266"/>
      <c r="CA289" s="69"/>
      <c r="CB289" s="52"/>
      <c r="CC289" s="81"/>
      <c r="CD289" s="71"/>
      <c r="CE289" s="80"/>
      <c r="CF289" s="72"/>
      <c r="CG289" s="265"/>
      <c r="CH289" s="266"/>
      <c r="CI289" s="69"/>
      <c r="CJ289" s="52"/>
      <c r="CK289" s="81"/>
      <c r="CL289" s="71"/>
      <c r="CM289" s="80"/>
      <c r="CN289" s="72"/>
      <c r="CO289" s="265"/>
      <c r="CP289" s="266"/>
      <c r="CQ289" s="69"/>
      <c r="CR289" s="52"/>
      <c r="CS289" s="81"/>
      <c r="CT289" s="71"/>
      <c r="CU289" s="80"/>
      <c r="CV289" s="72"/>
      <c r="CW289" s="265"/>
      <c r="CX289" s="266"/>
      <c r="CY289" s="69"/>
      <c r="CZ289" s="52"/>
      <c r="DA289" s="81"/>
      <c r="DB289" s="71"/>
      <c r="DC289" s="80"/>
      <c r="DD289" s="72"/>
      <c r="DE289" s="265"/>
      <c r="DF289" s="266"/>
      <c r="DG289" s="69"/>
      <c r="DH289" s="52"/>
      <c r="DI289" s="81"/>
      <c r="DJ289" s="71"/>
      <c r="DK289" s="80"/>
      <c r="DL289" s="72"/>
      <c r="DM289" s="265"/>
      <c r="DN289" s="266"/>
      <c r="DO289" s="69"/>
      <c r="DP289" s="52"/>
      <c r="DQ289" s="81"/>
      <c r="DR289" s="71"/>
      <c r="DS289" s="80"/>
      <c r="DT289" s="72"/>
      <c r="DU289" s="265"/>
      <c r="DV289" s="266"/>
      <c r="DW289" s="69"/>
      <c r="DX289" s="52"/>
      <c r="DY289" s="81"/>
      <c r="DZ289" s="71"/>
      <c r="EA289" s="80"/>
      <c r="EB289" s="72"/>
      <c r="EC289" s="265"/>
      <c r="ED289" s="266"/>
      <c r="EE289" s="69"/>
      <c r="EF289" s="52"/>
      <c r="EG289" s="81"/>
      <c r="EH289" s="71"/>
      <c r="EI289" s="80"/>
      <c r="EJ289" s="72"/>
      <c r="EK289" s="265"/>
      <c r="EL289" s="266"/>
      <c r="EM289" s="69"/>
      <c r="EN289" s="52"/>
      <c r="EO289" s="81"/>
      <c r="EP289" s="71"/>
      <c r="EQ289" s="80"/>
      <c r="ER289" s="72"/>
      <c r="ES289" s="265"/>
      <c r="ET289" s="266"/>
      <c r="EU289" s="69"/>
      <c r="EV289" s="52"/>
      <c r="EW289" s="81"/>
      <c r="EX289" s="71"/>
      <c r="EY289" s="80"/>
      <c r="EZ289" s="72"/>
      <c r="FA289" s="265"/>
      <c r="FB289" s="266"/>
      <c r="FC289" s="69"/>
      <c r="FD289" s="52"/>
      <c r="FE289" s="81"/>
      <c r="FF289" s="71"/>
      <c r="FG289" s="80"/>
      <c r="FH289" s="72"/>
      <c r="FI289" s="265"/>
      <c r="FJ289" s="266"/>
      <c r="FK289" s="69"/>
      <c r="FL289" s="52"/>
      <c r="FM289" s="81"/>
      <c r="FN289" s="71"/>
      <c r="FO289" s="80"/>
      <c r="FP289" s="72"/>
      <c r="FQ289" s="265"/>
      <c r="FR289" s="266"/>
      <c r="FS289" s="69"/>
      <c r="FT289" s="52"/>
      <c r="FU289" s="81"/>
      <c r="FV289" s="71"/>
      <c r="FW289" s="80"/>
      <c r="FX289" s="72"/>
      <c r="FY289" s="265"/>
      <c r="FZ289" s="266"/>
      <c r="GA289" s="69"/>
      <c r="GB289" s="52"/>
      <c r="GC289" s="81"/>
      <c r="GD289" s="71"/>
      <c r="GE289" s="80"/>
      <c r="GF289" s="72"/>
      <c r="GG289" s="265"/>
      <c r="GH289" s="266"/>
      <c r="GI289" s="69"/>
      <c r="GJ289" s="52"/>
      <c r="GK289" s="81"/>
      <c r="GL289" s="71"/>
      <c r="GM289" s="80"/>
      <c r="GN289" s="72"/>
      <c r="GO289" s="265"/>
      <c r="GP289" s="266"/>
      <c r="GQ289" s="69"/>
      <c r="GR289" s="52"/>
      <c r="GS289" s="81"/>
      <c r="GT289" s="71"/>
      <c r="GU289" s="80"/>
      <c r="GV289" s="72"/>
      <c r="GW289" s="265"/>
      <c r="GX289" s="266"/>
      <c r="GY289" s="69"/>
      <c r="GZ289" s="52"/>
      <c r="HA289" s="81"/>
      <c r="HB289" s="71"/>
      <c r="HC289" s="80"/>
      <c r="HD289" s="72"/>
      <c r="HE289" s="265"/>
      <c r="HF289" s="266"/>
      <c r="HG289" s="69"/>
      <c r="HH289" s="52"/>
      <c r="HI289" s="81"/>
      <c r="HJ289" s="71"/>
      <c r="HK289" s="80"/>
      <c r="HL289" s="72"/>
      <c r="HM289" s="265"/>
      <c r="HN289" s="266"/>
      <c r="HO289" s="69"/>
      <c r="HP289" s="52"/>
      <c r="HQ289" s="81"/>
      <c r="HR289" s="71"/>
      <c r="HS289" s="80"/>
      <c r="HT289" s="72"/>
      <c r="HU289" s="265"/>
      <c r="HV289" s="266"/>
      <c r="HW289" s="69"/>
      <c r="HX289" s="52"/>
      <c r="HY289" s="81"/>
      <c r="HZ289" s="71"/>
      <c r="IA289" s="80"/>
      <c r="IB289" s="72"/>
      <c r="IC289" s="265"/>
      <c r="ID289" s="266"/>
      <c r="IE289" s="69"/>
      <c r="IF289" s="52"/>
      <c r="IG289" s="81"/>
      <c r="IH289" s="71"/>
      <c r="II289" s="80"/>
      <c r="IJ289" s="72"/>
      <c r="IK289" s="265"/>
      <c r="IL289" s="266"/>
      <c r="IM289" s="69"/>
      <c r="IN289" s="52"/>
      <c r="IO289" s="81"/>
      <c r="IP289" s="71"/>
      <c r="IQ289" s="80"/>
      <c r="IR289" s="72"/>
      <c r="IS289" s="265"/>
      <c r="IT289" s="266"/>
      <c r="IU289" s="69"/>
      <c r="IV289" s="52"/>
    </row>
    <row r="290" spans="1:256" s="43" customFormat="1" ht="15.75" hidden="1">
      <c r="A290" s="52"/>
      <c r="B290" s="52">
        <v>14</v>
      </c>
      <c r="C290" s="35" t="s">
        <v>349</v>
      </c>
      <c r="D290" s="52" t="str">
        <f t="shared" si="42"/>
        <v>Option Selctd.</v>
      </c>
      <c r="E290" s="77" t="str">
        <f t="shared" si="43"/>
        <v/>
      </c>
      <c r="F290" s="235" t="s">
        <v>674</v>
      </c>
      <c r="G290" s="244" t="str">
        <f t="shared" si="39"/>
        <v/>
      </c>
      <c r="J290" s="73"/>
      <c r="K290" s="63"/>
      <c r="L290" s="63"/>
      <c r="M290" s="223">
        <f t="shared" si="38"/>
        <v>6269.9959756097569</v>
      </c>
      <c r="N290" s="223">
        <f t="shared" si="41"/>
        <v>3134.9979878048784</v>
      </c>
      <c r="O290" s="43">
        <v>1.65</v>
      </c>
      <c r="P290" s="233">
        <f>(2298+(($G$12-22)*140)+300/0.82+750)*0.85*0.9/1.6</f>
        <v>1899.9987804878051</v>
      </c>
      <c r="Q290" s="63"/>
      <c r="R290" s="30"/>
    </row>
    <row r="291" spans="1:256" s="43" customFormat="1" ht="15.75" hidden="1">
      <c r="A291" s="52"/>
      <c r="B291" s="52">
        <v>14</v>
      </c>
      <c r="C291" s="35" t="s">
        <v>350</v>
      </c>
      <c r="D291" s="52" t="str">
        <f t="shared" si="42"/>
        <v>Option Selctd.</v>
      </c>
      <c r="E291" s="77" t="str">
        <f t="shared" si="43"/>
        <v/>
      </c>
      <c r="F291" s="235" t="s">
        <v>674</v>
      </c>
      <c r="G291" s="244" t="str">
        <f t="shared" si="39"/>
        <v/>
      </c>
      <c r="J291" s="73"/>
      <c r="K291" s="63"/>
      <c r="L291" s="63"/>
      <c r="M291" s="223">
        <f t="shared" si="38"/>
        <v>5266.1812499999996</v>
      </c>
      <c r="N291" s="223">
        <f t="shared" si="41"/>
        <v>2633.0906249999998</v>
      </c>
      <c r="O291" s="43">
        <v>1.65</v>
      </c>
      <c r="P291" s="233">
        <f>2837*0.9/1.6</f>
        <v>1595.8125</v>
      </c>
      <c r="Q291" s="63"/>
      <c r="R291" s="30"/>
    </row>
    <row r="292" spans="1:256" s="43" customFormat="1" ht="15.75" hidden="1">
      <c r="A292" s="52"/>
      <c r="B292" s="52"/>
      <c r="C292" s="35"/>
      <c r="D292" s="52" t="str">
        <f t="shared" si="42"/>
        <v>Option Selctd.</v>
      </c>
      <c r="E292" s="77" t="str">
        <f t="shared" si="43"/>
        <v/>
      </c>
      <c r="F292" s="235"/>
      <c r="G292" s="244" t="str">
        <f t="shared" si="39"/>
        <v/>
      </c>
      <c r="H292" s="247"/>
      <c r="J292" s="73"/>
      <c r="K292" s="63"/>
      <c r="L292" s="63"/>
      <c r="Q292" s="63"/>
      <c r="R292" s="30"/>
    </row>
    <row r="293" spans="1:256" s="43" customFormat="1" ht="15.75" hidden="1">
      <c r="A293" s="52"/>
      <c r="B293" s="52">
        <v>14</v>
      </c>
      <c r="C293" s="35" t="s">
        <v>351</v>
      </c>
      <c r="D293" s="52" t="str">
        <f t="shared" si="42"/>
        <v>Option Selctd.</v>
      </c>
      <c r="E293" s="77" t="str">
        <f t="shared" si="43"/>
        <v/>
      </c>
      <c r="F293" s="235" t="s">
        <v>675</v>
      </c>
      <c r="G293" s="244" t="str">
        <f t="shared" si="39"/>
        <v/>
      </c>
      <c r="J293" s="73"/>
      <c r="K293" s="63"/>
      <c r="L293" s="63"/>
      <c r="M293" s="223">
        <f>N293*2</f>
        <v>0</v>
      </c>
      <c r="N293" s="223">
        <f>P293*O293</f>
        <v>0</v>
      </c>
      <c r="O293" s="43">
        <v>1.65</v>
      </c>
      <c r="P293" s="233">
        <v>0</v>
      </c>
      <c r="Q293" s="63"/>
      <c r="R293" s="30"/>
      <c r="S293" s="80"/>
      <c r="T293" s="72"/>
      <c r="U293" s="265"/>
      <c r="V293" s="266"/>
      <c r="W293" s="69"/>
      <c r="X293" s="52"/>
      <c r="Y293" s="81"/>
      <c r="Z293" s="71"/>
      <c r="AA293" s="80"/>
      <c r="AB293" s="72"/>
      <c r="AC293" s="265"/>
      <c r="AD293" s="266"/>
      <c r="AE293" s="69"/>
      <c r="AF293" s="52"/>
      <c r="AG293" s="81"/>
      <c r="AH293" s="71"/>
      <c r="AI293" s="80"/>
    </row>
    <row r="294" spans="1:256" s="43" customFormat="1" ht="15.75" hidden="1">
      <c r="A294" s="52"/>
      <c r="B294" s="52">
        <v>14</v>
      </c>
      <c r="C294" s="35" t="s">
        <v>676</v>
      </c>
      <c r="D294" s="52" t="str">
        <f t="shared" si="42"/>
        <v>Option Selctd.</v>
      </c>
      <c r="E294" s="77" t="str">
        <f t="shared" si="43"/>
        <v/>
      </c>
      <c r="F294" s="235" t="s">
        <v>675</v>
      </c>
      <c r="G294" s="244" t="str">
        <f t="shared" si="39"/>
        <v/>
      </c>
      <c r="J294" s="73"/>
      <c r="K294" s="63"/>
      <c r="L294" s="63"/>
      <c r="M294" s="223">
        <f t="shared" ref="M294:M304" si="44">N294*2</f>
        <v>3233.5874999999996</v>
      </c>
      <c r="N294" s="223">
        <f t="shared" ref="N294:N304" si="45">P294*O294</f>
        <v>1616.7937499999998</v>
      </c>
      <c r="O294" s="43">
        <v>1.65</v>
      </c>
      <c r="P294" s="233">
        <f>$G$12*67*0.9/1.6</f>
        <v>979.87499999999989</v>
      </c>
      <c r="Q294" s="63"/>
      <c r="R294" s="30"/>
    </row>
    <row r="295" spans="1:256" s="43" customFormat="1" ht="15.75" hidden="1">
      <c r="A295" s="52"/>
      <c r="B295" s="52">
        <v>14</v>
      </c>
      <c r="C295" s="35" t="s">
        <v>677</v>
      </c>
      <c r="D295" s="52" t="str">
        <f t="shared" si="42"/>
        <v>Option Selctd.</v>
      </c>
      <c r="E295" s="77" t="str">
        <f t="shared" si="43"/>
        <v/>
      </c>
      <c r="F295" s="235" t="s">
        <v>675</v>
      </c>
      <c r="G295" s="244" t="str">
        <f t="shared" si="39"/>
        <v/>
      </c>
      <c r="J295" s="73"/>
      <c r="K295" s="63"/>
      <c r="L295" s="63"/>
      <c r="M295" s="223">
        <f t="shared" si="44"/>
        <v>4198.8374999999996</v>
      </c>
      <c r="N295" s="223">
        <f t="shared" si="45"/>
        <v>2099.4187499999998</v>
      </c>
      <c r="O295" s="43">
        <v>1.65</v>
      </c>
      <c r="P295" s="233">
        <f>$G$12*87*0.9/1.6</f>
        <v>1272.375</v>
      </c>
      <c r="Q295" s="63"/>
      <c r="R295" s="30"/>
    </row>
    <row r="296" spans="1:256" s="43" customFormat="1" ht="15.75" hidden="1">
      <c r="A296" s="52"/>
      <c r="B296" s="52">
        <v>14</v>
      </c>
      <c r="C296" s="35" t="s">
        <v>678</v>
      </c>
      <c r="D296" s="52" t="str">
        <f>IF(E296="","Option Selctd.","")</f>
        <v>Option Selctd.</v>
      </c>
      <c r="E296" s="77" t="str">
        <f>IF(AND(AND(ISBLANK($A$194),ISBLANK($A$205),ISBLANK($A$219),ISBLANK($A$230),ISBLANK($A$244),ISBLANK($A$261),ISBLANK($A$275)),A296&gt;0),G296,"")</f>
        <v/>
      </c>
      <c r="F296" s="235" t="s">
        <v>675</v>
      </c>
      <c r="G296" s="244" t="str">
        <f t="shared" si="39"/>
        <v/>
      </c>
      <c r="J296" s="73"/>
      <c r="K296" s="63"/>
      <c r="L296" s="63"/>
      <c r="M296" s="223">
        <f t="shared" si="44"/>
        <v>4785.709499999999</v>
      </c>
      <c r="N296" s="223">
        <f t="shared" si="45"/>
        <v>2392.8547499999995</v>
      </c>
      <c r="O296" s="43">
        <v>1.65</v>
      </c>
      <c r="P296" s="233">
        <f>$G$12*67*1.48*0.9/1.6</f>
        <v>1450.2149999999999</v>
      </c>
      <c r="Q296" s="63"/>
      <c r="R296" s="30"/>
    </row>
    <row r="297" spans="1:256" s="43" customFormat="1" ht="15.75" hidden="1">
      <c r="A297" s="52"/>
      <c r="B297" s="52">
        <v>14</v>
      </c>
      <c r="C297" s="35" t="s">
        <v>352</v>
      </c>
      <c r="D297" s="52" t="str">
        <f t="shared" si="42"/>
        <v>Option Selctd.</v>
      </c>
      <c r="E297" s="77" t="str">
        <f t="shared" si="43"/>
        <v/>
      </c>
      <c r="F297" s="235" t="s">
        <v>675</v>
      </c>
      <c r="G297" s="244" t="str">
        <f t="shared" si="39"/>
        <v/>
      </c>
      <c r="J297" s="73"/>
      <c r="K297" s="63"/>
      <c r="L297" s="63"/>
      <c r="M297" s="223">
        <f t="shared" si="44"/>
        <v>4054.0499999999997</v>
      </c>
      <c r="N297" s="223">
        <f t="shared" si="45"/>
        <v>2027.0249999999999</v>
      </c>
      <c r="O297" s="43">
        <v>1.65</v>
      </c>
      <c r="P297" s="233">
        <f>$G$12*84*0.9/1.6</f>
        <v>1228.5</v>
      </c>
      <c r="Q297" s="63"/>
      <c r="R297" s="30"/>
    </row>
    <row r="298" spans="1:256" s="43" customFormat="1" ht="15.75" hidden="1">
      <c r="A298" s="52"/>
      <c r="B298" s="52">
        <v>14</v>
      </c>
      <c r="C298" s="35" t="s">
        <v>353</v>
      </c>
      <c r="D298" s="52" t="str">
        <f t="shared" si="42"/>
        <v>Option Selctd.</v>
      </c>
      <c r="E298" s="77" t="str">
        <f t="shared" si="43"/>
        <v/>
      </c>
      <c r="F298" s="235" t="s">
        <v>675</v>
      </c>
      <c r="G298" s="244" t="str">
        <f t="shared" si="39"/>
        <v/>
      </c>
      <c r="J298" s="73"/>
      <c r="K298" s="63"/>
      <c r="L298" s="63"/>
      <c r="M298" s="223">
        <f t="shared" si="44"/>
        <v>5260.6124999999993</v>
      </c>
      <c r="N298" s="223">
        <f t="shared" si="45"/>
        <v>2630.3062499999996</v>
      </c>
      <c r="O298" s="43">
        <v>1.65</v>
      </c>
      <c r="P298" s="233">
        <f>$G$12*109*0.9/1.6</f>
        <v>1594.1249999999998</v>
      </c>
      <c r="Q298" s="63"/>
      <c r="R298" s="30"/>
    </row>
    <row r="299" spans="1:256" s="43" customFormat="1" ht="15.75" hidden="1">
      <c r="A299" s="52"/>
      <c r="B299" s="52">
        <v>14</v>
      </c>
      <c r="C299" s="35" t="s">
        <v>679</v>
      </c>
      <c r="D299" s="52" t="str">
        <f>IF(E299="","Option Selctd.","")</f>
        <v>Option Selctd.</v>
      </c>
      <c r="E299" s="77" t="str">
        <f>IF(AND(AND(ISBLANK($A$194),ISBLANK($A$205),ISBLANK($A$219),ISBLANK($A$230),ISBLANK($A$244),ISBLANK($A$261),ISBLANK($A$275)),A299&gt;0),G299,"")</f>
        <v/>
      </c>
      <c r="F299" s="235" t="s">
        <v>675</v>
      </c>
      <c r="G299" s="244" t="str">
        <f t="shared" si="39"/>
        <v/>
      </c>
      <c r="J299" s="73"/>
      <c r="K299" s="63"/>
      <c r="L299" s="63"/>
      <c r="M299" s="223">
        <f t="shared" si="44"/>
        <v>6486.48</v>
      </c>
      <c r="N299" s="223">
        <f t="shared" si="45"/>
        <v>3243.24</v>
      </c>
      <c r="O299" s="43">
        <v>1.65</v>
      </c>
      <c r="P299" s="233">
        <f>$G$12*84*1.6*0.9/1.6</f>
        <v>1965.6</v>
      </c>
      <c r="Q299" s="63"/>
      <c r="R299" s="30"/>
    </row>
    <row r="300" spans="1:256" s="43" customFormat="1" ht="15.75" hidden="1">
      <c r="A300" s="52"/>
      <c r="B300" s="52">
        <v>14</v>
      </c>
      <c r="C300" s="35" t="s">
        <v>680</v>
      </c>
      <c r="D300" s="52" t="str">
        <f t="shared" si="42"/>
        <v>Option Selctd.</v>
      </c>
      <c r="E300" s="77" t="str">
        <f t="shared" si="43"/>
        <v/>
      </c>
      <c r="F300" s="235" t="s">
        <v>675</v>
      </c>
      <c r="G300" s="244" t="str">
        <f t="shared" si="39"/>
        <v/>
      </c>
      <c r="J300" s="73"/>
      <c r="K300" s="63"/>
      <c r="L300" s="63"/>
      <c r="M300" s="223">
        <f t="shared" si="44"/>
        <v>1006.0875</v>
      </c>
      <c r="N300" s="223">
        <f t="shared" si="45"/>
        <v>503.04374999999999</v>
      </c>
      <c r="O300" s="43">
        <v>1.65</v>
      </c>
      <c r="P300" s="233">
        <f>542*0.9/1.6</f>
        <v>304.875</v>
      </c>
      <c r="Q300" s="63"/>
      <c r="R300" s="30"/>
    </row>
    <row r="301" spans="1:256" s="43" customFormat="1" ht="15.75" hidden="1">
      <c r="A301" s="52"/>
      <c r="B301" s="52">
        <v>14</v>
      </c>
      <c r="C301" s="35" t="s">
        <v>681</v>
      </c>
      <c r="D301" s="52" t="str">
        <f t="shared" si="42"/>
        <v>Option Selctd.</v>
      </c>
      <c r="E301" s="77" t="str">
        <f t="shared" si="43"/>
        <v/>
      </c>
      <c r="F301" s="235" t="s">
        <v>675</v>
      </c>
      <c r="G301" s="244" t="str">
        <f t="shared" si="39"/>
        <v/>
      </c>
      <c r="J301" s="73"/>
      <c r="K301" s="63"/>
      <c r="L301" s="63"/>
      <c r="M301" s="223">
        <f t="shared" si="44"/>
        <v>670.10624999999993</v>
      </c>
      <c r="N301" s="223">
        <f t="shared" si="45"/>
        <v>335.05312499999997</v>
      </c>
      <c r="O301" s="43">
        <v>1.65</v>
      </c>
      <c r="P301" s="233">
        <f>361*0.9/1.6</f>
        <v>203.0625</v>
      </c>
      <c r="Q301" s="63"/>
      <c r="R301" s="30"/>
    </row>
    <row r="302" spans="1:256" s="43" customFormat="1" ht="15.75" hidden="1">
      <c r="A302" s="52"/>
      <c r="B302" s="52">
        <v>14</v>
      </c>
      <c r="C302" s="35" t="s">
        <v>682</v>
      </c>
      <c r="D302" s="52" t="str">
        <f t="shared" si="42"/>
        <v>Option Selctd.</v>
      </c>
      <c r="E302" s="77" t="str">
        <f t="shared" si="43"/>
        <v/>
      </c>
      <c r="F302" s="235" t="s">
        <v>675</v>
      </c>
      <c r="G302" s="244" t="str">
        <f t="shared" si="39"/>
        <v/>
      </c>
      <c r="J302" s="73"/>
      <c r="K302" s="63"/>
      <c r="L302" s="63"/>
      <c r="M302" s="223">
        <f t="shared" si="44"/>
        <v>506.75624999999997</v>
      </c>
      <c r="N302" s="223">
        <f t="shared" si="45"/>
        <v>253.37812499999998</v>
      </c>
      <c r="O302" s="43">
        <v>1.65</v>
      </c>
      <c r="P302" s="233">
        <f>7*39*0.9/1.6</f>
        <v>153.5625</v>
      </c>
      <c r="Q302" s="63"/>
      <c r="R302" s="30"/>
    </row>
    <row r="303" spans="1:256" s="43" customFormat="1" ht="15.75" hidden="1">
      <c r="A303" s="52"/>
      <c r="B303" s="52">
        <v>14</v>
      </c>
      <c r="C303" s="35" t="s">
        <v>683</v>
      </c>
      <c r="D303" s="52" t="str">
        <f t="shared" si="42"/>
        <v>Option Selctd.</v>
      </c>
      <c r="E303" s="77" t="str">
        <f t="shared" si="43"/>
        <v/>
      </c>
      <c r="F303" s="235" t="s">
        <v>675</v>
      </c>
      <c r="G303" s="244" t="str">
        <f t="shared" si="39"/>
        <v/>
      </c>
      <c r="J303" s="73"/>
      <c r="K303" s="63"/>
      <c r="L303" s="63"/>
      <c r="M303" s="223">
        <f t="shared" si="44"/>
        <v>870.58124999999995</v>
      </c>
      <c r="N303" s="223">
        <f t="shared" si="45"/>
        <v>435.29062499999998</v>
      </c>
      <c r="O303" s="43">
        <v>1.65</v>
      </c>
      <c r="P303" s="233">
        <f>67*7*0.9/1.6</f>
        <v>263.8125</v>
      </c>
      <c r="Q303" s="63"/>
      <c r="R303" s="30"/>
    </row>
    <row r="304" spans="1:256" s="43" customFormat="1" ht="15.75" hidden="1">
      <c r="A304" s="52"/>
      <c r="B304" s="52">
        <v>14</v>
      </c>
      <c r="C304" s="35" t="s">
        <v>354</v>
      </c>
      <c r="D304" s="52" t="str">
        <f t="shared" si="42"/>
        <v>Option Selctd.</v>
      </c>
      <c r="E304" s="77" t="str">
        <f t="shared" si="43"/>
        <v/>
      </c>
      <c r="F304" s="235" t="s">
        <v>675</v>
      </c>
      <c r="G304" s="244" t="str">
        <f t="shared" si="39"/>
        <v/>
      </c>
      <c r="J304" s="73"/>
      <c r="K304" s="63"/>
      <c r="L304" s="63"/>
      <c r="M304" s="223">
        <f t="shared" si="44"/>
        <v>662.68124999999998</v>
      </c>
      <c r="N304" s="223">
        <f t="shared" si="45"/>
        <v>331.34062499999999</v>
      </c>
      <c r="O304" s="43">
        <v>1.65</v>
      </c>
      <c r="P304" s="233">
        <f>51*7*0.9/1.6</f>
        <v>200.8125</v>
      </c>
      <c r="Q304" s="63"/>
      <c r="R304" s="30"/>
    </row>
    <row r="305" spans="1:29" s="43" customFormat="1" ht="15.75" hidden="1">
      <c r="A305" s="52"/>
      <c r="B305" s="52"/>
      <c r="C305" s="35"/>
      <c r="D305" s="52" t="str">
        <f t="shared" si="42"/>
        <v>Option Selctd.</v>
      </c>
      <c r="E305" s="77" t="str">
        <f t="shared" si="43"/>
        <v/>
      </c>
      <c r="F305" s="235"/>
      <c r="G305" s="244" t="str">
        <f t="shared" si="39"/>
        <v/>
      </c>
      <c r="H305" s="247"/>
      <c r="J305" s="73"/>
      <c r="K305" s="63"/>
      <c r="L305" s="63"/>
      <c r="Q305" s="63"/>
      <c r="R305" s="30"/>
    </row>
    <row r="306" spans="1:29" s="43" customFormat="1" ht="15.75" hidden="1">
      <c r="A306" s="52"/>
      <c r="B306" s="52">
        <v>14</v>
      </c>
      <c r="C306" s="35" t="s">
        <v>684</v>
      </c>
      <c r="D306" s="52" t="str">
        <f t="shared" si="42"/>
        <v>Option Selctd.</v>
      </c>
      <c r="E306" s="77" t="str">
        <f t="shared" si="43"/>
        <v/>
      </c>
      <c r="F306" s="235" t="s">
        <v>675</v>
      </c>
      <c r="G306" s="244" t="str">
        <f t="shared" si="39"/>
        <v/>
      </c>
      <c r="J306" s="73"/>
      <c r="K306" s="63"/>
      <c r="L306" s="63"/>
      <c r="M306" s="223">
        <f>N306*2</f>
        <v>0</v>
      </c>
      <c r="N306" s="223">
        <f>P306*O306</f>
        <v>0</v>
      </c>
      <c r="O306" s="43">
        <v>1.65</v>
      </c>
      <c r="P306" s="233">
        <v>0</v>
      </c>
      <c r="Q306" s="63"/>
      <c r="R306" s="30"/>
    </row>
    <row r="307" spans="1:29" s="43" customFormat="1" ht="15.75" hidden="1">
      <c r="A307" s="52"/>
      <c r="B307" s="52">
        <v>14</v>
      </c>
      <c r="C307" s="35" t="s">
        <v>685</v>
      </c>
      <c r="D307" s="52" t="str">
        <f t="shared" si="42"/>
        <v>Option Selctd.</v>
      </c>
      <c r="E307" s="77" t="str">
        <f t="shared" si="43"/>
        <v/>
      </c>
      <c r="F307" s="235" t="s">
        <v>675</v>
      </c>
      <c r="G307" s="244" t="str">
        <f t="shared" si="39"/>
        <v/>
      </c>
      <c r="J307" s="73"/>
      <c r="K307" s="63"/>
      <c r="L307" s="63"/>
      <c r="M307" s="223">
        <f t="shared" ref="M307:M317" si="46">N307*2</f>
        <v>172.63124999999999</v>
      </c>
      <c r="N307" s="223">
        <f t="shared" ref="N307:N317" si="47">P307*O307</f>
        <v>86.315624999999997</v>
      </c>
      <c r="O307" s="43">
        <v>1.65</v>
      </c>
      <c r="P307" s="233">
        <f>93*0.9/1.6</f>
        <v>52.3125</v>
      </c>
      <c r="Q307" s="63"/>
      <c r="R307" s="30"/>
    </row>
    <row r="308" spans="1:29" s="43" customFormat="1" ht="15.75" hidden="1">
      <c r="A308" s="52"/>
      <c r="B308" s="52">
        <v>14</v>
      </c>
      <c r="C308" s="35" t="s">
        <v>686</v>
      </c>
      <c r="D308" s="52" t="str">
        <f t="shared" si="42"/>
        <v>Option Selctd.</v>
      </c>
      <c r="E308" s="77" t="str">
        <f t="shared" si="43"/>
        <v/>
      </c>
      <c r="F308" s="235" t="s">
        <v>675</v>
      </c>
      <c r="G308" s="244" t="str">
        <f t="shared" si="39"/>
        <v/>
      </c>
      <c r="J308" s="73"/>
      <c r="K308" s="63"/>
      <c r="L308" s="63"/>
      <c r="M308" s="223">
        <f t="shared" si="46"/>
        <v>1516.78828125</v>
      </c>
      <c r="N308" s="223">
        <f t="shared" si="47"/>
        <v>758.39414062499998</v>
      </c>
      <c r="O308" s="43">
        <v>1.65</v>
      </c>
      <c r="P308" s="233">
        <f>($P$287/2-75)*0.9/1.6</f>
        <v>459.6328125</v>
      </c>
      <c r="Q308" s="63"/>
      <c r="R308" s="30"/>
    </row>
    <row r="309" spans="1:29" s="43" customFormat="1" ht="15.75" hidden="1">
      <c r="A309" s="52"/>
      <c r="B309" s="52">
        <v>14</v>
      </c>
      <c r="C309" s="35" t="s">
        <v>687</v>
      </c>
      <c r="D309" s="52" t="str">
        <f>IF(E309="","Option Selctd.","")</f>
        <v>Option Selctd.</v>
      </c>
      <c r="E309" s="77" t="str">
        <f>IF(AND(AND(ISBLANK($A$194),ISBLANK($A$205),ISBLANK($A$219),ISBLANK($A$230),ISBLANK($A$244),ISBLANK($A$261),ISBLANK($A$275)),A309&gt;0),G309,"")</f>
        <v/>
      </c>
      <c r="F309" s="235" t="s">
        <v>675</v>
      </c>
      <c r="G309" s="244" t="str">
        <f t="shared" si="39"/>
        <v/>
      </c>
      <c r="J309" s="73"/>
      <c r="K309" s="63"/>
      <c r="L309" s="63"/>
      <c r="M309" s="223">
        <f t="shared" si="46"/>
        <v>1971.8247656250001</v>
      </c>
      <c r="N309" s="223">
        <f t="shared" si="47"/>
        <v>985.91238281250003</v>
      </c>
      <c r="O309" s="43">
        <v>1.65</v>
      </c>
      <c r="P309" s="233">
        <f>$P$308*1.3</f>
        <v>597.52265625000007</v>
      </c>
      <c r="Q309" s="63"/>
      <c r="R309" s="30"/>
    </row>
    <row r="310" spans="1:29" s="43" customFormat="1" ht="15.75" hidden="1">
      <c r="A310" s="52"/>
      <c r="B310" s="52">
        <v>14</v>
      </c>
      <c r="C310" s="35" t="s">
        <v>355</v>
      </c>
      <c r="D310" s="52" t="str">
        <f t="shared" si="42"/>
        <v>Option Selctd.</v>
      </c>
      <c r="E310" s="77" t="str">
        <f t="shared" si="43"/>
        <v/>
      </c>
      <c r="F310" s="235" t="s">
        <v>675</v>
      </c>
      <c r="G310" s="244" t="str">
        <f t="shared" si="39"/>
        <v/>
      </c>
      <c r="J310" s="73"/>
      <c r="K310" s="63"/>
      <c r="L310" s="63"/>
      <c r="M310" s="223">
        <f t="shared" si="46"/>
        <v>559.77074999999991</v>
      </c>
      <c r="N310" s="223">
        <f t="shared" si="47"/>
        <v>279.88537499999995</v>
      </c>
      <c r="O310" s="43">
        <v>1.65</v>
      </c>
      <c r="P310" s="233">
        <f>301.56*0.9/1.6</f>
        <v>169.6275</v>
      </c>
      <c r="Q310" s="63"/>
      <c r="R310" s="30"/>
    </row>
    <row r="311" spans="1:29" s="43" customFormat="1" ht="15.75" hidden="1">
      <c r="A311" s="52"/>
      <c r="B311" s="52">
        <v>14</v>
      </c>
      <c r="C311" s="35" t="s">
        <v>356</v>
      </c>
      <c r="D311" s="52" t="str">
        <f>IF(E311="","Option Selctd.","")</f>
        <v>Option Selctd.</v>
      </c>
      <c r="E311" s="77" t="str">
        <f>IF(AND(AND(ISBLANK($A$194),ISBLANK($A$205),ISBLANK($A$219),ISBLANK($A$230),ISBLANK($A$244),ISBLANK($A$261),ISBLANK($A$275)),A311&gt;0),G311,"")</f>
        <v/>
      </c>
      <c r="F311" s="235" t="s">
        <v>675</v>
      </c>
      <c r="G311" s="244" t="str">
        <f t="shared" si="39"/>
        <v/>
      </c>
      <c r="J311" s="73"/>
      <c r="K311" s="63"/>
      <c r="L311" s="63"/>
      <c r="M311" s="223">
        <f t="shared" si="46"/>
        <v>615.90374999999995</v>
      </c>
      <c r="N311" s="223">
        <f t="shared" si="47"/>
        <v>307.95187499999997</v>
      </c>
      <c r="O311" s="43">
        <v>1.65</v>
      </c>
      <c r="P311" s="233">
        <f>331.8*0.9/1.6</f>
        <v>186.63749999999999</v>
      </c>
      <c r="Q311" s="63"/>
      <c r="R311" s="30"/>
    </row>
    <row r="312" spans="1:29" s="43" customFormat="1" ht="15.75" hidden="1">
      <c r="A312" s="52"/>
      <c r="B312" s="52">
        <v>14</v>
      </c>
      <c r="C312" s="35" t="s">
        <v>688</v>
      </c>
      <c r="D312" s="52" t="str">
        <f t="shared" si="42"/>
        <v>Option Selctd.</v>
      </c>
      <c r="E312" s="77" t="str">
        <f t="shared" si="43"/>
        <v/>
      </c>
      <c r="F312" s="235" t="s">
        <v>675</v>
      </c>
      <c r="G312" s="244" t="str">
        <f t="shared" si="39"/>
        <v/>
      </c>
      <c r="J312" s="267"/>
      <c r="K312" s="63"/>
      <c r="L312" s="63"/>
      <c r="M312" s="223">
        <f t="shared" si="46"/>
        <v>0</v>
      </c>
      <c r="N312" s="223">
        <f t="shared" si="47"/>
        <v>0</v>
      </c>
      <c r="O312" s="43">
        <v>1.65</v>
      </c>
      <c r="P312" s="233">
        <v>0</v>
      </c>
      <c r="Q312" s="63"/>
      <c r="R312" s="30"/>
    </row>
    <row r="313" spans="1:29" s="43" customFormat="1" ht="15.75" hidden="1">
      <c r="A313" s="52"/>
      <c r="B313" s="52">
        <v>14</v>
      </c>
      <c r="C313" s="35" t="s">
        <v>689</v>
      </c>
      <c r="D313" s="52" t="str">
        <f t="shared" si="42"/>
        <v>Option Selctd.</v>
      </c>
      <c r="E313" s="77" t="str">
        <f t="shared" si="43"/>
        <v/>
      </c>
      <c r="F313" s="235" t="s">
        <v>675</v>
      </c>
      <c r="G313" s="244" t="str">
        <f t="shared" si="39"/>
        <v/>
      </c>
      <c r="J313" s="267"/>
      <c r="K313" s="63"/>
      <c r="L313" s="63"/>
      <c r="M313" s="223">
        <f t="shared" si="46"/>
        <v>586.27799999999991</v>
      </c>
      <c r="N313" s="223">
        <f t="shared" si="47"/>
        <v>293.13899999999995</v>
      </c>
      <c r="O313" s="43">
        <v>1.65</v>
      </c>
      <c r="P313" s="233">
        <f>315.84*0.9/1.6</f>
        <v>177.65999999999997</v>
      </c>
      <c r="Q313" s="63"/>
      <c r="R313" s="30"/>
    </row>
    <row r="314" spans="1:29" s="43" customFormat="1" ht="15.75" hidden="1">
      <c r="A314" s="52"/>
      <c r="B314" s="52">
        <v>14</v>
      </c>
      <c r="C314" s="35" t="s">
        <v>690</v>
      </c>
      <c r="D314" s="52" t="str">
        <f t="shared" si="42"/>
        <v>Option Selctd.</v>
      </c>
      <c r="E314" s="77" t="str">
        <f t="shared" si="43"/>
        <v/>
      </c>
      <c r="F314" s="235" t="s">
        <v>675</v>
      </c>
      <c r="G314" s="244" t="str">
        <f t="shared" si="39"/>
        <v/>
      </c>
      <c r="J314" s="267"/>
      <c r="K314" s="63"/>
      <c r="L314" s="63"/>
      <c r="M314" s="223">
        <f t="shared" si="46"/>
        <v>1516.78828125</v>
      </c>
      <c r="N314" s="223">
        <f t="shared" si="47"/>
        <v>758.39414062499998</v>
      </c>
      <c r="O314" s="43">
        <v>1.65</v>
      </c>
      <c r="P314" s="233">
        <f>($P$287/2-75)*0.9/1.6</f>
        <v>459.6328125</v>
      </c>
      <c r="Q314" s="63"/>
      <c r="R314" s="30"/>
    </row>
    <row r="315" spans="1:29" s="43" customFormat="1" ht="15.75" hidden="1">
      <c r="A315" s="52"/>
      <c r="B315" s="52">
        <v>14</v>
      </c>
      <c r="C315" s="35" t="s">
        <v>691</v>
      </c>
      <c r="D315" s="52" t="str">
        <f>IF(E315="","Option Selctd.","")</f>
        <v>Option Selctd.</v>
      </c>
      <c r="E315" s="77" t="str">
        <f>IF(AND(AND(ISBLANK($A$194),ISBLANK($A$205),ISBLANK($A$219),ISBLANK($A$230),ISBLANK($A$244),ISBLANK($A$261),ISBLANK($A$275)),A315&gt;0),G315,"")</f>
        <v/>
      </c>
      <c r="F315" s="235" t="s">
        <v>675</v>
      </c>
      <c r="G315" s="244" t="str">
        <f t="shared" si="39"/>
        <v/>
      </c>
      <c r="J315" s="267"/>
      <c r="K315" s="63"/>
      <c r="L315" s="63"/>
      <c r="M315" s="223">
        <f t="shared" si="46"/>
        <v>2030.1435000000001</v>
      </c>
      <c r="N315" s="223">
        <f t="shared" si="47"/>
        <v>1015.0717500000001</v>
      </c>
      <c r="O315" s="43">
        <v>1.65</v>
      </c>
      <c r="P315" s="233">
        <f>1093.68*0.9/1.6</f>
        <v>615.19500000000005</v>
      </c>
      <c r="Q315" s="63"/>
      <c r="R315" s="30"/>
    </row>
    <row r="316" spans="1:29" s="43" customFormat="1" ht="15.75" hidden="1">
      <c r="A316" s="52"/>
      <c r="B316" s="52">
        <v>14</v>
      </c>
      <c r="C316" s="35" t="s">
        <v>357</v>
      </c>
      <c r="D316" s="52" t="str">
        <f t="shared" si="42"/>
        <v>Option Selctd.</v>
      </c>
      <c r="E316" s="77" t="str">
        <f t="shared" si="43"/>
        <v/>
      </c>
      <c r="F316" s="235" t="s">
        <v>675</v>
      </c>
      <c r="G316" s="244" t="str">
        <f t="shared" si="39"/>
        <v/>
      </c>
      <c r="J316" s="267"/>
      <c r="K316" s="63"/>
      <c r="L316" s="63"/>
      <c r="M316" s="223">
        <f t="shared" si="46"/>
        <v>1808.73</v>
      </c>
      <c r="N316" s="223">
        <f t="shared" si="47"/>
        <v>904.36500000000001</v>
      </c>
      <c r="O316" s="43">
        <v>1.65</v>
      </c>
      <c r="P316" s="233">
        <f>974.4*0.9/1.6</f>
        <v>548.1</v>
      </c>
      <c r="Q316" s="63"/>
      <c r="R316" s="30"/>
    </row>
    <row r="317" spans="1:29" s="43" customFormat="1" ht="15.75" hidden="1">
      <c r="A317" s="52"/>
      <c r="B317" s="52">
        <v>14</v>
      </c>
      <c r="C317" s="35" t="s">
        <v>358</v>
      </c>
      <c r="D317" s="52" t="str">
        <f>IF(E317="","Option Selctd.","")</f>
        <v>Option Selctd.</v>
      </c>
      <c r="E317" s="77" t="str">
        <f>IF(AND(AND(ISBLANK($A$194),ISBLANK($A$205),ISBLANK($A$219),ISBLANK($A$230),ISBLANK($A$244),ISBLANK($A$261),ISBLANK($A$275)),A317&gt;0),G317,"")</f>
        <v/>
      </c>
      <c r="F317" s="235" t="s">
        <v>675</v>
      </c>
      <c r="G317" s="244" t="str">
        <f t="shared" si="39"/>
        <v/>
      </c>
      <c r="J317" s="267"/>
      <c r="K317" s="63"/>
      <c r="L317" s="63"/>
      <c r="M317" s="223">
        <f t="shared" si="46"/>
        <v>2362.2637499999996</v>
      </c>
      <c r="N317" s="223">
        <f t="shared" si="47"/>
        <v>1181.1318749999998</v>
      </c>
      <c r="O317" s="43">
        <v>1.65</v>
      </c>
      <c r="P317" s="233">
        <f>1272.6*0.9/1.6</f>
        <v>715.83749999999986</v>
      </c>
      <c r="Q317" s="63"/>
      <c r="R317" s="30"/>
    </row>
    <row r="318" spans="1:29" s="43" customFormat="1" ht="15.75" hidden="1">
      <c r="A318" s="52"/>
      <c r="B318" s="52"/>
      <c r="C318" s="35"/>
      <c r="D318" s="52"/>
      <c r="E318" s="77"/>
      <c r="F318" s="235"/>
      <c r="G318" s="258"/>
      <c r="H318" s="247"/>
      <c r="J318" s="267"/>
      <c r="K318" s="63"/>
      <c r="L318" s="63"/>
      <c r="Q318" s="63"/>
      <c r="R318" s="30"/>
    </row>
    <row r="319" spans="1:29" s="43" customFormat="1" ht="15.75" hidden="1">
      <c r="A319" s="52"/>
      <c r="B319" s="52">
        <v>14</v>
      </c>
      <c r="C319" s="35" t="s">
        <v>382</v>
      </c>
      <c r="D319" s="52" t="str">
        <f>IF(E319="","Option Selctd.","")</f>
        <v>Option Selctd.</v>
      </c>
      <c r="E319" s="77" t="str">
        <f t="shared" si="43"/>
        <v/>
      </c>
      <c r="F319" s="35"/>
      <c r="G319" s="244" t="str">
        <f t="shared" si="39"/>
        <v/>
      </c>
      <c r="J319" s="267"/>
      <c r="K319" s="63"/>
      <c r="L319" s="63"/>
      <c r="M319" s="223">
        <f>N319*2</f>
        <v>277.54649999999998</v>
      </c>
      <c r="N319" s="223">
        <f>P319*O319</f>
        <v>138.77324999999999</v>
      </c>
      <c r="O319" s="43">
        <v>1.65</v>
      </c>
      <c r="P319" s="233">
        <f>149.52*0.9/1.6</f>
        <v>84.105000000000004</v>
      </c>
      <c r="Q319" s="63"/>
      <c r="R319" s="30"/>
    </row>
    <row r="320" spans="1:29" s="43" customFormat="1" ht="15.75" hidden="1">
      <c r="A320" s="52"/>
      <c r="B320" s="52">
        <v>14</v>
      </c>
      <c r="C320" s="35" t="s">
        <v>383</v>
      </c>
      <c r="D320" s="52" t="str">
        <f>IF(E320="","Option Selctd.","")</f>
        <v>Option Selctd.</v>
      </c>
      <c r="E320" s="77" t="str">
        <f t="shared" si="43"/>
        <v/>
      </c>
      <c r="F320" s="35"/>
      <c r="G320" s="244" t="str">
        <f t="shared" si="39"/>
        <v/>
      </c>
      <c r="J320" s="267"/>
      <c r="K320" s="63"/>
      <c r="L320" s="63"/>
      <c r="M320" s="223">
        <f>N320*2</f>
        <v>173.07674999999998</v>
      </c>
      <c r="N320" s="223">
        <f>P320*O320</f>
        <v>86.538374999999988</v>
      </c>
      <c r="O320" s="43">
        <v>1.65</v>
      </c>
      <c r="P320" s="233">
        <f>93.24*0.9/1.6</f>
        <v>52.447499999999998</v>
      </c>
      <c r="Q320" s="63"/>
      <c r="R320" s="30"/>
      <c r="AC320" s="73"/>
    </row>
    <row r="321" spans="1:54" s="43" customFormat="1" ht="15.75" hidden="1">
      <c r="A321" s="52"/>
      <c r="B321" s="52">
        <v>14</v>
      </c>
      <c r="C321" s="35" t="s">
        <v>384</v>
      </c>
      <c r="D321" s="52" t="str">
        <f>IF(E321="","Option Selctd.","")</f>
        <v>Option Selctd.</v>
      </c>
      <c r="E321" s="77" t="str">
        <f t="shared" si="43"/>
        <v/>
      </c>
      <c r="F321" s="35"/>
      <c r="G321" s="244" t="str">
        <f t="shared" si="39"/>
        <v/>
      </c>
      <c r="J321" s="267"/>
      <c r="K321" s="63"/>
      <c r="L321" s="63"/>
      <c r="M321" s="223">
        <f>N321*2</f>
        <v>277.54649999999998</v>
      </c>
      <c r="N321" s="223">
        <f>P321*O321</f>
        <v>138.77324999999999</v>
      </c>
      <c r="O321" s="43">
        <v>1.65</v>
      </c>
      <c r="P321" s="233">
        <f>149.52*0.9/1.6</f>
        <v>84.105000000000004</v>
      </c>
      <c r="Q321" s="63"/>
      <c r="R321" s="30"/>
      <c r="AC321" s="73"/>
    </row>
    <row r="322" spans="1:54" s="43" customFormat="1" ht="15.75" hidden="1">
      <c r="A322" s="52"/>
      <c r="B322" s="52">
        <v>14</v>
      </c>
      <c r="C322" s="35" t="s">
        <v>385</v>
      </c>
      <c r="D322" s="52" t="str">
        <f>IF(E322="","Option Selctd.","")</f>
        <v>Option Selctd.</v>
      </c>
      <c r="E322" s="77" t="str">
        <f t="shared" si="43"/>
        <v/>
      </c>
      <c r="F322" s="35"/>
      <c r="G322" s="244" t="str">
        <f t="shared" si="39"/>
        <v/>
      </c>
      <c r="J322" s="267"/>
      <c r="K322" s="63"/>
      <c r="L322" s="63"/>
      <c r="M322" s="223">
        <f>N322*2</f>
        <v>361.74599999999992</v>
      </c>
      <c r="N322" s="223">
        <f>P322*O322</f>
        <v>180.87299999999996</v>
      </c>
      <c r="O322" s="43">
        <v>1.65</v>
      </c>
      <c r="P322" s="233">
        <f>194.88*0.9/1.6</f>
        <v>109.61999999999999</v>
      </c>
      <c r="Q322" s="63"/>
      <c r="R322" s="30"/>
    </row>
    <row r="323" spans="1:54" s="43" customFormat="1" ht="15.75" hidden="1">
      <c r="A323" s="52"/>
      <c r="B323" s="52">
        <v>14</v>
      </c>
      <c r="C323" s="35" t="s">
        <v>386</v>
      </c>
      <c r="D323" s="52" t="str">
        <f>IF(E323="","Option Selctd.","")</f>
        <v>Option Selctd.</v>
      </c>
      <c r="E323" s="77" t="str">
        <f t="shared" si="43"/>
        <v/>
      </c>
      <c r="F323" s="35"/>
      <c r="G323" s="244" t="str">
        <f t="shared" si="39"/>
        <v/>
      </c>
      <c r="J323" s="267"/>
      <c r="K323" s="63"/>
      <c r="L323" s="63"/>
      <c r="M323" s="223">
        <f>N323*2</f>
        <v>173.07674999999998</v>
      </c>
      <c r="N323" s="223">
        <f>P323*O323</f>
        <v>86.538374999999988</v>
      </c>
      <c r="O323" s="43">
        <v>1.65</v>
      </c>
      <c r="P323" s="233">
        <f>93.24*0.9/1.6</f>
        <v>52.447499999999998</v>
      </c>
      <c r="Q323" s="63"/>
      <c r="R323" s="30"/>
    </row>
    <row r="324" spans="1:54" s="43" customFormat="1" ht="15.75" hidden="1">
      <c r="A324" s="52"/>
      <c r="B324" s="52"/>
      <c r="C324" s="35"/>
      <c r="D324" s="52"/>
      <c r="E324" s="77"/>
      <c r="F324" s="235"/>
      <c r="G324" s="258"/>
      <c r="H324" s="247"/>
      <c r="J324" s="267"/>
      <c r="K324" s="63"/>
      <c r="L324" s="63"/>
      <c r="Q324" s="63"/>
      <c r="R324" s="30"/>
    </row>
    <row r="325" spans="1:54" s="43" customFormat="1" ht="15.75" hidden="1">
      <c r="A325" s="52"/>
      <c r="B325" s="524">
        <v>14</v>
      </c>
      <c r="C325" s="525" t="str">
        <f>"Ceiling: "&amp;F325&amp;" with "&amp;F326&amp;IF($F$471="Basic Flat",""," Finish")</f>
        <v>Ceiling: * Select Ceiling Type * with * Select Finish * Finish</v>
      </c>
      <c r="D325" s="524" t="str">
        <f t="shared" si="42"/>
        <v>Option Selctd.</v>
      </c>
      <c r="E325" s="526" t="str">
        <f>IF(AND(AND(ISBLANK($A$194),ISBLANK($A$205),ISBLANK($A$219),ISBLANK($A$230),ISBLANK($A$244),ISBLANK($A$261),ISBLANK($A$275)),A325&gt;0),G325,"")</f>
        <v/>
      </c>
      <c r="F325" s="268" t="s">
        <v>692</v>
      </c>
      <c r="G325" s="527" t="str">
        <f t="shared" si="39"/>
        <v/>
      </c>
      <c r="J325" s="267"/>
      <c r="K325" s="63"/>
      <c r="L325" s="63"/>
      <c r="M325" s="521" t="e">
        <f>INDEX($U$329:$AD$337,$X$340,$Z$340)</f>
        <v>#N/A</v>
      </c>
      <c r="N325" s="73" t="s">
        <v>693</v>
      </c>
      <c r="Q325" s="63"/>
      <c r="R325" s="30"/>
      <c r="S325" s="73"/>
      <c r="T325" s="73" t="s">
        <v>537</v>
      </c>
      <c r="U325" s="73"/>
      <c r="V325" s="73" t="s">
        <v>694</v>
      </c>
      <c r="W325" s="73"/>
      <c r="X325" s="73"/>
      <c r="Y325" s="73"/>
      <c r="Z325" s="73"/>
      <c r="AA325" s="73"/>
      <c r="AB325" s="73"/>
    </row>
    <row r="326" spans="1:54" s="43" customFormat="1" ht="15.75" hidden="1">
      <c r="A326" s="269" t="str">
        <f>IF(ISBLANK(A325),"","-")</f>
        <v/>
      </c>
      <c r="B326" s="524"/>
      <c r="C326" s="525"/>
      <c r="D326" s="524"/>
      <c r="E326" s="526"/>
      <c r="F326" s="270" t="s">
        <v>649</v>
      </c>
      <c r="G326" s="527"/>
      <c r="J326" s="267"/>
      <c r="K326" s="63"/>
      <c r="L326" s="63"/>
      <c r="M326" s="521"/>
      <c r="Q326" s="63"/>
      <c r="R326" s="30"/>
      <c r="S326" s="73" t="s">
        <v>648</v>
      </c>
      <c r="T326" s="73"/>
      <c r="U326" s="73"/>
      <c r="V326" s="73"/>
      <c r="W326" s="73"/>
      <c r="X326" s="73"/>
      <c r="Y326" s="73"/>
      <c r="Z326" s="73"/>
      <c r="AA326" s="73"/>
      <c r="AB326" s="73"/>
    </row>
    <row r="327" spans="1:54" s="73" customFormat="1" ht="15.75" hidden="1">
      <c r="A327" s="52"/>
      <c r="B327" s="52">
        <v>14</v>
      </c>
      <c r="C327" s="35" t="s">
        <v>695</v>
      </c>
      <c r="D327" s="52" t="str">
        <f t="shared" si="42"/>
        <v>Option Selctd.</v>
      </c>
      <c r="E327" s="77" t="str">
        <f t="shared" ref="E327:E388" si="48">IF(AND(AND(ISBLANK($A$194),ISBLANK($A$205),ISBLANK($A$219),ISBLANK($A$230),ISBLANK($A$244),ISBLANK($A$261),ISBLANK($A$275)),A327&gt;0),G327,"")</f>
        <v/>
      </c>
      <c r="F327" s="235" t="s">
        <v>359</v>
      </c>
      <c r="G327" s="244" t="str">
        <f t="shared" si="39"/>
        <v/>
      </c>
      <c r="I327" s="43"/>
      <c r="J327" s="267"/>
      <c r="K327" s="63"/>
      <c r="L327" s="63"/>
      <c r="M327" s="223">
        <f>N327*2</f>
        <v>0</v>
      </c>
      <c r="N327" s="223">
        <f>P327*O327</f>
        <v>0</v>
      </c>
      <c r="O327" s="43">
        <v>1.65</v>
      </c>
      <c r="P327" s="233">
        <v>0</v>
      </c>
      <c r="Q327" s="63"/>
      <c r="R327" s="30"/>
      <c r="T327" s="73" t="s">
        <v>692</v>
      </c>
      <c r="U327" s="73" t="s">
        <v>696</v>
      </c>
      <c r="V327" s="73" t="s">
        <v>697</v>
      </c>
      <c r="W327" s="73" t="s">
        <v>698</v>
      </c>
      <c r="X327" s="73" t="s">
        <v>699</v>
      </c>
      <c r="Y327" s="73" t="s">
        <v>700</v>
      </c>
      <c r="Z327" s="73" t="s">
        <v>701</v>
      </c>
      <c r="AA327" s="73" t="s">
        <v>702</v>
      </c>
      <c r="AB327" s="73" t="s">
        <v>703</v>
      </c>
      <c r="AC327" s="43" t="s">
        <v>704</v>
      </c>
      <c r="AD327" s="43" t="s">
        <v>705</v>
      </c>
      <c r="AE327" s="43"/>
      <c r="AF327" s="43"/>
      <c r="AG327" s="43" t="s">
        <v>538</v>
      </c>
      <c r="AH327" s="43"/>
      <c r="AI327" s="43"/>
      <c r="AJ327" s="262">
        <v>1.65</v>
      </c>
      <c r="AS327" s="73" t="s">
        <v>540</v>
      </c>
    </row>
    <row r="328" spans="1:54" s="43" customFormat="1" ht="15.75" hidden="1">
      <c r="A328" s="52"/>
      <c r="B328" s="52">
        <v>14</v>
      </c>
      <c r="C328" s="35" t="s">
        <v>360</v>
      </c>
      <c r="D328" s="52" t="str">
        <f t="shared" si="42"/>
        <v>Option Selctd.</v>
      </c>
      <c r="E328" s="77" t="str">
        <f t="shared" si="48"/>
        <v/>
      </c>
      <c r="F328" s="235" t="s">
        <v>675</v>
      </c>
      <c r="G328" s="244" t="str">
        <f t="shared" si="39"/>
        <v/>
      </c>
      <c r="J328" s="267"/>
      <c r="K328" s="63"/>
      <c r="L328" s="63"/>
      <c r="M328" s="223">
        <f>N328*2</f>
        <v>838.87649999999985</v>
      </c>
      <c r="N328" s="223">
        <f>P328*O328</f>
        <v>419.43824999999993</v>
      </c>
      <c r="O328" s="43">
        <v>1.65</v>
      </c>
      <c r="P328" s="233">
        <f>451.92*0.9/1.6</f>
        <v>254.20499999999998</v>
      </c>
      <c r="Q328" s="63"/>
      <c r="R328" s="30"/>
      <c r="S328" s="73" t="s">
        <v>649</v>
      </c>
      <c r="T328" s="73"/>
      <c r="U328" s="73">
        <v>1</v>
      </c>
      <c r="V328" s="73">
        <v>2</v>
      </c>
      <c r="W328" s="73">
        <v>3</v>
      </c>
      <c r="X328" s="73">
        <v>4</v>
      </c>
      <c r="Y328" s="73">
        <v>5</v>
      </c>
      <c r="Z328" s="73">
        <v>6</v>
      </c>
      <c r="AA328" s="73">
        <v>7</v>
      </c>
      <c r="AB328" s="73">
        <v>8</v>
      </c>
      <c r="AC328" s="73">
        <v>9</v>
      </c>
      <c r="AD328" s="43">
        <v>10</v>
      </c>
    </row>
    <row r="329" spans="1:54" s="43" customFormat="1" ht="15.75" hidden="1">
      <c r="A329" s="52"/>
      <c r="B329" s="52"/>
      <c r="C329" s="35"/>
      <c r="D329" s="52"/>
      <c r="E329" s="77" t="str">
        <f t="shared" si="48"/>
        <v/>
      </c>
      <c r="F329" s="235"/>
      <c r="G329" s="244" t="str">
        <f t="shared" si="39"/>
        <v/>
      </c>
      <c r="H329" s="247"/>
      <c r="J329" s="267"/>
      <c r="K329" s="63"/>
      <c r="L329" s="63"/>
      <c r="Q329" s="63"/>
      <c r="R329" s="30"/>
      <c r="S329" s="73" t="s">
        <v>706</v>
      </c>
      <c r="T329" s="73">
        <v>1</v>
      </c>
      <c r="U329" s="239">
        <f>AG329*2</f>
        <v>512.99324999999999</v>
      </c>
      <c r="V329" s="73" t="s">
        <v>501</v>
      </c>
      <c r="W329" s="73" t="s">
        <v>501</v>
      </c>
      <c r="X329" s="73" t="s">
        <v>501</v>
      </c>
      <c r="Y329" s="73" t="s">
        <v>501</v>
      </c>
      <c r="Z329" s="73" t="s">
        <v>501</v>
      </c>
      <c r="AA329" s="73" t="s">
        <v>501</v>
      </c>
      <c r="AB329" s="73" t="s">
        <v>501</v>
      </c>
      <c r="AC329" s="73" t="s">
        <v>501</v>
      </c>
      <c r="AD329" s="73" t="s">
        <v>501</v>
      </c>
      <c r="AG329" s="239">
        <f>AS329*$AJ$327</f>
        <v>256.49662499999999</v>
      </c>
      <c r="AH329" s="73" t="s">
        <v>501</v>
      </c>
      <c r="AI329" s="73" t="s">
        <v>501</v>
      </c>
      <c r="AJ329" s="73" t="s">
        <v>501</v>
      </c>
      <c r="AK329" s="73" t="s">
        <v>501</v>
      </c>
      <c r="AL329" s="73" t="s">
        <v>501</v>
      </c>
      <c r="AM329" s="73" t="s">
        <v>501</v>
      </c>
      <c r="AN329" s="73" t="s">
        <v>501</v>
      </c>
      <c r="AO329" s="73" t="s">
        <v>501</v>
      </c>
      <c r="AP329" s="73" t="s">
        <v>501</v>
      </c>
      <c r="AS329" s="239">
        <f>276.36*0.9/1.6</f>
        <v>155.45250000000001</v>
      </c>
      <c r="AT329" s="73" t="s">
        <v>501</v>
      </c>
      <c r="AU329" s="73" t="s">
        <v>501</v>
      </c>
      <c r="AV329" s="73" t="s">
        <v>501</v>
      </c>
      <c r="AW329" s="73" t="s">
        <v>501</v>
      </c>
      <c r="AX329" s="73" t="s">
        <v>501</v>
      </c>
      <c r="AY329" s="73" t="s">
        <v>501</v>
      </c>
      <c r="AZ329" s="73" t="s">
        <v>501</v>
      </c>
      <c r="BA329" s="73" t="s">
        <v>501</v>
      </c>
      <c r="BB329" s="73" t="s">
        <v>501</v>
      </c>
    </row>
    <row r="330" spans="1:54" s="43" customFormat="1" ht="15.75" hidden="1">
      <c r="A330" s="52"/>
      <c r="B330" s="52">
        <v>14</v>
      </c>
      <c r="C330" s="35" t="s">
        <v>707</v>
      </c>
      <c r="D330" s="52" t="str">
        <f t="shared" si="42"/>
        <v>Option Selctd.</v>
      </c>
      <c r="E330" s="77" t="str">
        <f>IF(AND(AND(ISBLANK($A$194),ISBLANK($A$205),ISBLANK($A$219),ISBLANK($A$230),ISBLANK($A$244),ISBLANK($A$261),ISBLANK($A$275)),A330&gt;0),G330,"")</f>
        <v/>
      </c>
      <c r="F330" s="35"/>
      <c r="G330" s="244" t="str">
        <f t="shared" si="39"/>
        <v/>
      </c>
      <c r="J330" s="267"/>
      <c r="K330" s="63"/>
      <c r="L330" s="63"/>
      <c r="M330" s="223">
        <f>N330*2</f>
        <v>2376.2969999999996</v>
      </c>
      <c r="N330" s="223">
        <f>P330*O330</f>
        <v>1188.1484999999998</v>
      </c>
      <c r="O330" s="43">
        <v>1.65</v>
      </c>
      <c r="P330" s="233">
        <f>1280.16*0.9/1.6</f>
        <v>720.08999999999992</v>
      </c>
      <c r="Q330" s="63"/>
      <c r="R330" s="30"/>
      <c r="S330" s="73" t="s">
        <v>708</v>
      </c>
      <c r="T330" s="73">
        <v>2</v>
      </c>
      <c r="U330" s="239">
        <f>AG330*2</f>
        <v>762.47325000000001</v>
      </c>
      <c r="V330" s="73" t="s">
        <v>501</v>
      </c>
      <c r="W330" s="73" t="s">
        <v>501</v>
      </c>
      <c r="X330" s="73" t="s">
        <v>501</v>
      </c>
      <c r="Y330" s="73" t="s">
        <v>501</v>
      </c>
      <c r="Z330" s="73" t="s">
        <v>501</v>
      </c>
      <c r="AA330" s="73" t="s">
        <v>501</v>
      </c>
      <c r="AB330" s="73" t="s">
        <v>501</v>
      </c>
      <c r="AC330" s="73" t="s">
        <v>501</v>
      </c>
      <c r="AD330" s="73" t="s">
        <v>501</v>
      </c>
      <c r="AG330" s="239">
        <f>AS330*$AJ$327</f>
        <v>381.236625</v>
      </c>
      <c r="AH330" s="73" t="s">
        <v>501</v>
      </c>
      <c r="AI330" s="73" t="s">
        <v>501</v>
      </c>
      <c r="AJ330" s="73" t="s">
        <v>501</v>
      </c>
      <c r="AK330" s="73" t="s">
        <v>501</v>
      </c>
      <c r="AL330" s="73" t="s">
        <v>501</v>
      </c>
      <c r="AM330" s="73" t="s">
        <v>501</v>
      </c>
      <c r="AN330" s="73" t="s">
        <v>501</v>
      </c>
      <c r="AO330" s="73" t="s">
        <v>501</v>
      </c>
      <c r="AP330" s="73" t="s">
        <v>501</v>
      </c>
      <c r="AS330" s="239">
        <f>410.76*0.9/1.6</f>
        <v>231.05250000000001</v>
      </c>
      <c r="AT330" s="73" t="s">
        <v>501</v>
      </c>
      <c r="AU330" s="73" t="s">
        <v>501</v>
      </c>
      <c r="AV330" s="73" t="s">
        <v>501</v>
      </c>
      <c r="AW330" s="73" t="s">
        <v>501</v>
      </c>
      <c r="AX330" s="73" t="s">
        <v>501</v>
      </c>
      <c r="AY330" s="73" t="s">
        <v>501</v>
      </c>
      <c r="AZ330" s="73" t="s">
        <v>501</v>
      </c>
      <c r="BA330" s="73" t="s">
        <v>501</v>
      </c>
      <c r="BB330" s="73" t="s">
        <v>501</v>
      </c>
    </row>
    <row r="331" spans="1:54" s="43" customFormat="1" ht="15.75" hidden="1">
      <c r="A331" s="52"/>
      <c r="B331" s="52">
        <v>14</v>
      </c>
      <c r="C331" s="35" t="s">
        <v>709</v>
      </c>
      <c r="D331" s="52" t="str">
        <f t="shared" si="42"/>
        <v>Option Selctd.</v>
      </c>
      <c r="E331" s="77" t="str">
        <f>IF(AND(AND(ISBLANK($A$194),ISBLANK($A$205),ISBLANK($A$219),ISBLANK($A$230),ISBLANK($A$244),ISBLANK($A$261),ISBLANK($A$275)),A331&gt;0),G331,"")</f>
        <v/>
      </c>
      <c r="F331" s="35"/>
      <c r="G331" s="244" t="str">
        <f t="shared" si="39"/>
        <v/>
      </c>
      <c r="J331" s="267"/>
      <c r="K331" s="63"/>
      <c r="L331" s="63"/>
      <c r="M331" s="223">
        <f t="shared" ref="M331:M338" si="49">N331*2</f>
        <v>2872.1384999999996</v>
      </c>
      <c r="N331" s="223">
        <f t="shared" ref="N331:N338" si="50">P331*O331</f>
        <v>1436.0692499999998</v>
      </c>
      <c r="O331" s="43">
        <v>1.65</v>
      </c>
      <c r="P331" s="233">
        <f>1547.28*0.9/1.6</f>
        <v>870.34499999999991</v>
      </c>
      <c r="Q331" s="63"/>
      <c r="R331" s="30"/>
      <c r="S331" s="73" t="s">
        <v>425</v>
      </c>
      <c r="T331" s="73">
        <v>3</v>
      </c>
      <c r="U331" s="73" t="s">
        <v>501</v>
      </c>
      <c r="V331" s="239">
        <f>AH331*2</f>
        <v>787.42124999999987</v>
      </c>
      <c r="W331" s="239">
        <f t="shared" ref="W331:AC336" si="51">AI331*2</f>
        <v>1286.3812499999999</v>
      </c>
      <c r="X331" s="239">
        <f t="shared" si="51"/>
        <v>3701.7078488372085</v>
      </c>
      <c r="Y331" s="239">
        <f t="shared" si="51"/>
        <v>4910.4287790697672</v>
      </c>
      <c r="Z331" s="239">
        <f t="shared" si="51"/>
        <v>3701.7078488372085</v>
      </c>
      <c r="AA331" s="239">
        <f t="shared" si="51"/>
        <v>3701.7078488372085</v>
      </c>
      <c r="AB331" s="239">
        <f t="shared" si="51"/>
        <v>1269.2294999999999</v>
      </c>
      <c r="AC331" s="239">
        <f t="shared" si="51"/>
        <v>1532.4854651162789</v>
      </c>
      <c r="AD331" s="239">
        <f>AP331*2</f>
        <v>2136.8459302325577</v>
      </c>
      <c r="AF331" s="73"/>
      <c r="AG331" s="73" t="s">
        <v>501</v>
      </c>
      <c r="AH331" s="239">
        <f>AT331*$AJ$327</f>
        <v>393.71062499999994</v>
      </c>
      <c r="AI331" s="239">
        <f t="shared" ref="AI331:AP336" si="52">AU331*$AJ$327</f>
        <v>643.19062499999995</v>
      </c>
      <c r="AJ331" s="239">
        <f t="shared" si="52"/>
        <v>1850.8539244186043</v>
      </c>
      <c r="AK331" s="239">
        <f t="shared" si="52"/>
        <v>2455.2143895348836</v>
      </c>
      <c r="AL331" s="239">
        <f t="shared" si="52"/>
        <v>1850.8539244186043</v>
      </c>
      <c r="AM331" s="239">
        <f t="shared" si="52"/>
        <v>1850.8539244186043</v>
      </c>
      <c r="AN331" s="239">
        <f t="shared" si="52"/>
        <v>634.61474999999996</v>
      </c>
      <c r="AO331" s="239">
        <f t="shared" si="52"/>
        <v>766.24273255813944</v>
      </c>
      <c r="AP331" s="239">
        <f t="shared" si="52"/>
        <v>1068.4229651162789</v>
      </c>
      <c r="AS331" s="73" t="s">
        <v>501</v>
      </c>
      <c r="AT331" s="239">
        <f>424.2*0.9/1.6</f>
        <v>238.61249999999998</v>
      </c>
      <c r="AU331" s="239">
        <f>693*0.9/1.6</f>
        <v>389.8125</v>
      </c>
      <c r="AV331" s="239">
        <f>1715/0.86*0.9/1.6</f>
        <v>1121.7296511627906</v>
      </c>
      <c r="AW331" s="239">
        <f>2275/0.86*0.9/1.6</f>
        <v>1488.0087209302326</v>
      </c>
      <c r="AX331" s="239">
        <f>1715/0.86*0.9/1.6</f>
        <v>1121.7296511627906</v>
      </c>
      <c r="AY331" s="239">
        <f>1715/0.86*0.9/1.6</f>
        <v>1121.7296511627906</v>
      </c>
      <c r="AZ331" s="239">
        <f>683.76*0.9/1.6</f>
        <v>384.61500000000001</v>
      </c>
      <c r="BA331" s="271">
        <f>710/0.86*0.9/1.6</f>
        <v>464.3895348837209</v>
      </c>
      <c r="BB331" s="271">
        <f>990/0.86*0.9/1.6</f>
        <v>647.5290697674418</v>
      </c>
    </row>
    <row r="332" spans="1:54" s="43" customFormat="1" ht="15.75" hidden="1">
      <c r="A332" s="52"/>
      <c r="B332" s="52">
        <v>14</v>
      </c>
      <c r="C332" s="35" t="s">
        <v>362</v>
      </c>
      <c r="D332" s="52" t="str">
        <f t="shared" si="42"/>
        <v>Option Selctd.</v>
      </c>
      <c r="E332" s="77" t="str">
        <f>IF(AND(AND(ISBLANK($A$194),ISBLANK($A$205),ISBLANK($A$219),ISBLANK($A$230),ISBLANK($A$244),ISBLANK($A$261),ISBLANK($A$275)),A332&gt;0),G332,"")</f>
        <v/>
      </c>
      <c r="F332" s="35"/>
      <c r="G332" s="244" t="str">
        <f t="shared" si="39"/>
        <v/>
      </c>
      <c r="J332" s="267"/>
      <c r="K332" s="63"/>
      <c r="L332" s="63"/>
      <c r="M332" s="223">
        <f t="shared" si="49"/>
        <v>3469.3312499999997</v>
      </c>
      <c r="N332" s="223">
        <f t="shared" si="50"/>
        <v>1734.6656249999999</v>
      </c>
      <c r="O332" s="43">
        <v>1.65</v>
      </c>
      <c r="P332" s="233">
        <f>1869*0.9/1.6</f>
        <v>1051.3125</v>
      </c>
      <c r="Q332" s="63"/>
      <c r="R332" s="30"/>
      <c r="S332" s="73" t="s">
        <v>710</v>
      </c>
      <c r="T332" s="73">
        <v>4</v>
      </c>
      <c r="U332" s="73" t="s">
        <v>501</v>
      </c>
      <c r="V332" s="73" t="s">
        <v>501</v>
      </c>
      <c r="W332" s="73" t="s">
        <v>501</v>
      </c>
      <c r="X332" s="73" t="s">
        <v>501</v>
      </c>
      <c r="Y332" s="73" t="s">
        <v>501</v>
      </c>
      <c r="Z332" s="239">
        <f t="shared" si="51"/>
        <v>3701.7078488372085</v>
      </c>
      <c r="AA332" s="239">
        <f t="shared" si="51"/>
        <v>3701.7078488372085</v>
      </c>
      <c r="AB332" s="73" t="s">
        <v>501</v>
      </c>
      <c r="AC332" s="73" t="s">
        <v>501</v>
      </c>
      <c r="AD332" s="73" t="s">
        <v>501</v>
      </c>
      <c r="AG332" s="73" t="s">
        <v>501</v>
      </c>
      <c r="AH332" s="73" t="s">
        <v>501</v>
      </c>
      <c r="AI332" s="73" t="s">
        <v>501</v>
      </c>
      <c r="AJ332" s="73" t="s">
        <v>501</v>
      </c>
      <c r="AK332" s="73" t="s">
        <v>501</v>
      </c>
      <c r="AL332" s="239">
        <f>AX332*$AJ$327</f>
        <v>1850.8539244186043</v>
      </c>
      <c r="AM332" s="239">
        <f t="shared" si="52"/>
        <v>1850.8539244186043</v>
      </c>
      <c r="AN332" s="73" t="s">
        <v>501</v>
      </c>
      <c r="AO332" s="73" t="s">
        <v>501</v>
      </c>
      <c r="AP332" s="73" t="s">
        <v>501</v>
      </c>
      <c r="AS332" s="73" t="s">
        <v>501</v>
      </c>
      <c r="AT332" s="73" t="s">
        <v>501</v>
      </c>
      <c r="AU332" s="73" t="s">
        <v>501</v>
      </c>
      <c r="AV332" s="73" t="s">
        <v>501</v>
      </c>
      <c r="AW332" s="73" t="s">
        <v>501</v>
      </c>
      <c r="AX332" s="239">
        <f>1715/0.86*0.9/1.6</f>
        <v>1121.7296511627906</v>
      </c>
      <c r="AY332" s="239">
        <f>1715/0.86*0.9/1.6</f>
        <v>1121.7296511627906</v>
      </c>
      <c r="AZ332" s="73" t="s">
        <v>501</v>
      </c>
      <c r="BA332" s="73" t="s">
        <v>501</v>
      </c>
      <c r="BB332" s="73" t="s">
        <v>501</v>
      </c>
    </row>
    <row r="333" spans="1:54" s="43" customFormat="1" ht="15.75" hidden="1">
      <c r="A333" s="52"/>
      <c r="B333" s="52">
        <v>14</v>
      </c>
      <c r="C333" s="35" t="s">
        <v>363</v>
      </c>
      <c r="D333" s="52" t="str">
        <f t="shared" si="42"/>
        <v>Option Selctd.</v>
      </c>
      <c r="E333" s="77" t="str">
        <f t="shared" si="48"/>
        <v/>
      </c>
      <c r="F333" s="35"/>
      <c r="G333" s="244" t="str">
        <f t="shared" si="39"/>
        <v/>
      </c>
      <c r="J333" s="267"/>
      <c r="K333" s="63"/>
      <c r="L333" s="63"/>
      <c r="M333" s="223">
        <f t="shared" si="49"/>
        <v>4786.8975</v>
      </c>
      <c r="N333" s="223">
        <f t="shared" si="50"/>
        <v>2393.44875</v>
      </c>
      <c r="O333" s="43">
        <v>1.65</v>
      </c>
      <c r="P333" s="233">
        <f>2578.8*0.9/1.6</f>
        <v>1450.575</v>
      </c>
      <c r="Q333" s="63"/>
      <c r="R333" s="30"/>
      <c r="S333" s="73" t="s">
        <v>309</v>
      </c>
      <c r="T333" s="73">
        <v>5</v>
      </c>
      <c r="U333" s="73" t="s">
        <v>501</v>
      </c>
      <c r="V333" s="239">
        <f t="shared" ref="V333:Y336" si="53">AH333*2</f>
        <v>1799.3744999999999</v>
      </c>
      <c r="W333" s="239">
        <f t="shared" si="53"/>
        <v>1588.8757499999999</v>
      </c>
      <c r="X333" s="239">
        <f t="shared" si="53"/>
        <v>3936.9767441860463</v>
      </c>
      <c r="Y333" s="239">
        <f t="shared" si="53"/>
        <v>5145.6976744186049</v>
      </c>
      <c r="Z333" s="239">
        <f t="shared" si="51"/>
        <v>3936.9767441860463</v>
      </c>
      <c r="AA333" s="239">
        <f t="shared" si="51"/>
        <v>3936.9767441860463</v>
      </c>
      <c r="AB333" s="239">
        <f>AN333*2</f>
        <v>1843.0335</v>
      </c>
      <c r="AC333" s="239">
        <f>AO333*2</f>
        <v>3246.2790697674413</v>
      </c>
      <c r="AD333" s="239">
        <f>AP333*2</f>
        <v>4927.6962209302319</v>
      </c>
      <c r="AG333" s="73" t="s">
        <v>501</v>
      </c>
      <c r="AH333" s="239">
        <f t="shared" ref="AH333:AK336" si="54">AT333*$AJ$327</f>
        <v>899.68724999999995</v>
      </c>
      <c r="AI333" s="239">
        <f t="shared" si="54"/>
        <v>794.43787499999996</v>
      </c>
      <c r="AJ333" s="239">
        <f t="shared" si="54"/>
        <v>1968.4883720930231</v>
      </c>
      <c r="AK333" s="239">
        <f t="shared" si="54"/>
        <v>2572.8488372093025</v>
      </c>
      <c r="AL333" s="239">
        <f>AX333*$AJ$327</f>
        <v>1968.4883720930231</v>
      </c>
      <c r="AM333" s="239">
        <f t="shared" si="52"/>
        <v>1968.4883720930231</v>
      </c>
      <c r="AN333" s="239">
        <f t="shared" si="52"/>
        <v>921.51675</v>
      </c>
      <c r="AO333" s="239">
        <f>BA333*$AJ$327</f>
        <v>1623.1395348837207</v>
      </c>
      <c r="AP333" s="239">
        <f>BB333*$AJ$327</f>
        <v>2463.848110465116</v>
      </c>
      <c r="AS333" s="73" t="s">
        <v>501</v>
      </c>
      <c r="AT333" s="239">
        <f>969.36*0.9/1.6</f>
        <v>545.26499999999999</v>
      </c>
      <c r="AU333" s="239">
        <f>855.96*0.9/1.6</f>
        <v>481.47750000000002</v>
      </c>
      <c r="AV333" s="239">
        <f>1824/0.86*0.9/1.6</f>
        <v>1193.0232558139535</v>
      </c>
      <c r="AW333" s="239">
        <f>2384/0.86*0.9/1.6</f>
        <v>1559.3023255813955</v>
      </c>
      <c r="AX333" s="239">
        <f>1824/0.86*0.9/1.6</f>
        <v>1193.0232558139535</v>
      </c>
      <c r="AY333" s="239">
        <f>1824/0.86*0.9/1.6</f>
        <v>1193.0232558139535</v>
      </c>
      <c r="AZ333" s="239">
        <f>992.88*0.9/1.6</f>
        <v>558.495</v>
      </c>
      <c r="BA333" s="271">
        <f>1504/0.86*0.9/1.6</f>
        <v>983.72093023255809</v>
      </c>
      <c r="BB333" s="271">
        <f>2283/0.86*0.9/1.6</f>
        <v>1493.2412790697674</v>
      </c>
    </row>
    <row r="334" spans="1:54" s="43" customFormat="1" ht="15.75" hidden="1">
      <c r="A334" s="52"/>
      <c r="B334" s="52">
        <v>14</v>
      </c>
      <c r="C334" s="35" t="s">
        <v>711</v>
      </c>
      <c r="D334" s="52" t="str">
        <f t="shared" si="42"/>
        <v>Option Selctd.</v>
      </c>
      <c r="E334" s="77" t="str">
        <f>IF(AND(AND(ISBLANK($A$194),ISBLANK($A$205),ISBLANK($A$219),ISBLANK($A$230),ISBLANK($A$244),ISBLANK($A$261),ISBLANK($A$275)),A334&gt;0),G334,"")</f>
        <v/>
      </c>
      <c r="F334" s="35"/>
      <c r="G334" s="244" t="str">
        <f t="shared" si="39"/>
        <v/>
      </c>
      <c r="J334" s="267"/>
      <c r="K334" s="63"/>
      <c r="L334" s="63"/>
      <c r="M334" s="223">
        <f t="shared" si="49"/>
        <v>1652.8049999999998</v>
      </c>
      <c r="N334" s="223">
        <f t="shared" si="50"/>
        <v>826.40249999999992</v>
      </c>
      <c r="O334" s="43">
        <v>1.65</v>
      </c>
      <c r="P334" s="233">
        <f>890.4*0.9/1.6</f>
        <v>500.84999999999997</v>
      </c>
      <c r="Q334" s="63"/>
      <c r="R334" s="30"/>
      <c r="S334" s="73" t="s">
        <v>310</v>
      </c>
      <c r="T334" s="73">
        <v>6</v>
      </c>
      <c r="U334" s="73" t="s">
        <v>501</v>
      </c>
      <c r="V334" s="239">
        <f t="shared" si="53"/>
        <v>2323.2824999999998</v>
      </c>
      <c r="W334" s="239">
        <f t="shared" si="53"/>
        <v>2078.4802499999996</v>
      </c>
      <c r="X334" s="239">
        <f t="shared" si="53"/>
        <v>4470.1090116279056</v>
      </c>
      <c r="Y334" s="239">
        <f t="shared" si="53"/>
        <v>5678.8299418604656</v>
      </c>
      <c r="Z334" s="239">
        <f t="shared" si="51"/>
        <v>4470.1090116279056</v>
      </c>
      <c r="AA334" s="239">
        <f t="shared" si="51"/>
        <v>4470.1090116279056</v>
      </c>
      <c r="AB334" s="239">
        <f>AN334*2</f>
        <v>2292.0974999999999</v>
      </c>
      <c r="AC334" s="73" t="s">
        <v>501</v>
      </c>
      <c r="AD334" s="73" t="s">
        <v>501</v>
      </c>
      <c r="AG334" s="73" t="s">
        <v>501</v>
      </c>
      <c r="AH334" s="239">
        <f t="shared" si="54"/>
        <v>1161.6412499999999</v>
      </c>
      <c r="AI334" s="239">
        <f t="shared" si="54"/>
        <v>1039.2401249999998</v>
      </c>
      <c r="AJ334" s="239">
        <f t="shared" si="54"/>
        <v>2235.0545058139528</v>
      </c>
      <c r="AK334" s="239">
        <f t="shared" si="54"/>
        <v>2839.4149709302328</v>
      </c>
      <c r="AL334" s="239">
        <f>AX334*$AJ$327</f>
        <v>2235.0545058139528</v>
      </c>
      <c r="AM334" s="239">
        <f t="shared" si="52"/>
        <v>2235.0545058139528</v>
      </c>
      <c r="AN334" s="239">
        <f t="shared" si="52"/>
        <v>1146.0487499999999</v>
      </c>
      <c r="AO334" s="73" t="s">
        <v>501</v>
      </c>
      <c r="AP334" s="73" t="s">
        <v>501</v>
      </c>
      <c r="AS334" s="73" t="s">
        <v>501</v>
      </c>
      <c r="AT334" s="239">
        <f>1251.6*0.9/1.6</f>
        <v>704.02499999999998</v>
      </c>
      <c r="AU334" s="239">
        <f>1119.72*0.9/1.6</f>
        <v>629.84249999999997</v>
      </c>
      <c r="AV334" s="239">
        <f>2071/0.86*0.9/1.6</f>
        <v>1354.5784883720928</v>
      </c>
      <c r="AW334" s="239">
        <f>2631/0.86*0.9/1.6</f>
        <v>1720.8575581395351</v>
      </c>
      <c r="AX334" s="239">
        <f>2071/0.86*0.9/1.6</f>
        <v>1354.5784883720928</v>
      </c>
      <c r="AY334" s="239">
        <f>2071/0.86*0.9/1.6</f>
        <v>1354.5784883720928</v>
      </c>
      <c r="AZ334" s="239">
        <f>1234.8*0.9/1.6</f>
        <v>694.57499999999993</v>
      </c>
      <c r="BA334" s="73" t="s">
        <v>501</v>
      </c>
      <c r="BB334" s="73" t="s">
        <v>501</v>
      </c>
    </row>
    <row r="335" spans="1:54" s="43" customFormat="1" ht="15.75" hidden="1">
      <c r="A335" s="52"/>
      <c r="B335" s="52">
        <v>14</v>
      </c>
      <c r="C335" s="35" t="s">
        <v>712</v>
      </c>
      <c r="D335" s="52" t="str">
        <f t="shared" si="42"/>
        <v>Option Selctd.</v>
      </c>
      <c r="E335" s="77" t="str">
        <f t="shared" si="48"/>
        <v/>
      </c>
      <c r="F335" s="35"/>
      <c r="G335" s="244" t="str">
        <f t="shared" si="39"/>
        <v/>
      </c>
      <c r="J335" s="267"/>
      <c r="K335" s="63"/>
      <c r="L335" s="63"/>
      <c r="M335" s="223">
        <f t="shared" si="49"/>
        <v>2148.6464999999998</v>
      </c>
      <c r="N335" s="223">
        <f t="shared" si="50"/>
        <v>1074.3232499999999</v>
      </c>
      <c r="O335" s="43">
        <v>1.65</v>
      </c>
      <c r="P335" s="233">
        <f>1157.52*0.9/1.6</f>
        <v>651.10500000000002</v>
      </c>
      <c r="Q335" s="63"/>
      <c r="R335" s="30"/>
      <c r="S335" s="73" t="s">
        <v>311</v>
      </c>
      <c r="T335" s="73">
        <v>7</v>
      </c>
      <c r="U335" s="73" t="s">
        <v>501</v>
      </c>
      <c r="V335" s="239">
        <f t="shared" si="53"/>
        <v>1799.3744999999999</v>
      </c>
      <c r="W335" s="239">
        <f t="shared" si="53"/>
        <v>1855.5074999999999</v>
      </c>
      <c r="X335" s="239">
        <f t="shared" si="53"/>
        <v>4368.6627906976737</v>
      </c>
      <c r="Y335" s="239">
        <f t="shared" si="53"/>
        <v>5577.3837209302319</v>
      </c>
      <c r="Z335" s="239">
        <f t="shared" si="51"/>
        <v>4368.6627906976737</v>
      </c>
      <c r="AA335" s="239">
        <f t="shared" si="51"/>
        <v>4368.6627906976737</v>
      </c>
      <c r="AB335" s="239">
        <f>AN335*2</f>
        <v>2162.6797499999993</v>
      </c>
      <c r="AC335" s="73" t="s">
        <v>501</v>
      </c>
      <c r="AD335" s="73" t="s">
        <v>501</v>
      </c>
      <c r="AG335" s="73" t="s">
        <v>501</v>
      </c>
      <c r="AH335" s="239">
        <f t="shared" si="54"/>
        <v>899.68724999999995</v>
      </c>
      <c r="AI335" s="239">
        <f t="shared" si="54"/>
        <v>927.75374999999997</v>
      </c>
      <c r="AJ335" s="239">
        <f t="shared" si="54"/>
        <v>2184.3313953488368</v>
      </c>
      <c r="AK335" s="239">
        <f t="shared" si="54"/>
        <v>2788.691860465116</v>
      </c>
      <c r="AL335" s="239">
        <f>AX335*$AJ$327</f>
        <v>2184.3313953488368</v>
      </c>
      <c r="AM335" s="239">
        <f t="shared" si="52"/>
        <v>2184.3313953488368</v>
      </c>
      <c r="AN335" s="239">
        <f t="shared" si="52"/>
        <v>1081.3398749999997</v>
      </c>
      <c r="AO335" s="73" t="s">
        <v>501</v>
      </c>
      <c r="AP335" s="73" t="s">
        <v>501</v>
      </c>
      <c r="AS335" s="73" t="s">
        <v>501</v>
      </c>
      <c r="AT335" s="239">
        <f>969.36*0.9/1.6</f>
        <v>545.26499999999999</v>
      </c>
      <c r="AU335" s="239">
        <f>999.6*0.9/1.6</f>
        <v>562.27499999999998</v>
      </c>
      <c r="AV335" s="239">
        <f>2024/0.86*0.9/1.6</f>
        <v>1323.8372093023254</v>
      </c>
      <c r="AW335" s="239">
        <f>2584/0.86*0.9/1.6</f>
        <v>1690.1162790697674</v>
      </c>
      <c r="AX335" s="239">
        <f>2024/0.86*0.9/1.6</f>
        <v>1323.8372093023254</v>
      </c>
      <c r="AY335" s="239">
        <f>2024/0.86*0.9/1.6</f>
        <v>1323.8372093023254</v>
      </c>
      <c r="AZ335" s="239">
        <f>1165.08*0.9/1.6</f>
        <v>655.35749999999985</v>
      </c>
      <c r="BA335" s="73" t="s">
        <v>501</v>
      </c>
      <c r="BB335" s="73" t="s">
        <v>501</v>
      </c>
    </row>
    <row r="336" spans="1:54" s="43" customFormat="1" ht="15.75" hidden="1">
      <c r="A336" s="52"/>
      <c r="B336" s="52">
        <v>14</v>
      </c>
      <c r="C336" s="35" t="s">
        <v>364</v>
      </c>
      <c r="D336" s="52" t="str">
        <f t="shared" si="42"/>
        <v>Option Selctd.</v>
      </c>
      <c r="E336" s="77" t="str">
        <f t="shared" si="48"/>
        <v/>
      </c>
      <c r="F336" s="35"/>
      <c r="G336" s="244" t="str">
        <f t="shared" si="39"/>
        <v/>
      </c>
      <c r="J336" s="267"/>
      <c r="K336" s="63"/>
      <c r="L336" s="63"/>
      <c r="M336" s="223">
        <f t="shared" si="49"/>
        <v>2745.83925</v>
      </c>
      <c r="N336" s="223">
        <f t="shared" si="50"/>
        <v>1372.919625</v>
      </c>
      <c r="O336" s="43">
        <v>1.65</v>
      </c>
      <c r="P336" s="233">
        <f>1479.24*0.9/1.6</f>
        <v>832.07249999999999</v>
      </c>
      <c r="Q336" s="63"/>
      <c r="R336" s="30"/>
      <c r="S336" s="73" t="s">
        <v>312</v>
      </c>
      <c r="T336" s="73">
        <v>8</v>
      </c>
      <c r="U336" s="73" t="s">
        <v>501</v>
      </c>
      <c r="V336" s="239">
        <f t="shared" si="53"/>
        <v>2323.2824999999998</v>
      </c>
      <c r="W336" s="239">
        <f t="shared" si="53"/>
        <v>2345.1119999999996</v>
      </c>
      <c r="X336" s="239">
        <f t="shared" si="53"/>
        <v>4903.9534883720926</v>
      </c>
      <c r="Y336" s="239">
        <f t="shared" si="53"/>
        <v>6112.6744186046508</v>
      </c>
      <c r="Z336" s="239">
        <f t="shared" si="51"/>
        <v>4903.9534883720926</v>
      </c>
      <c r="AA336" s="239">
        <f t="shared" si="51"/>
        <v>4903.9534883720926</v>
      </c>
      <c r="AB336" s="239">
        <f>AN336*2</f>
        <v>2482.3259999999996</v>
      </c>
      <c r="AC336" s="73" t="s">
        <v>501</v>
      </c>
      <c r="AD336" s="73" t="s">
        <v>501</v>
      </c>
      <c r="AG336" s="73" t="s">
        <v>501</v>
      </c>
      <c r="AH336" s="239">
        <f t="shared" si="54"/>
        <v>1161.6412499999999</v>
      </c>
      <c r="AI336" s="239">
        <f t="shared" si="54"/>
        <v>1172.5559999999998</v>
      </c>
      <c r="AJ336" s="239">
        <f t="shared" si="54"/>
        <v>2451.9767441860463</v>
      </c>
      <c r="AK336" s="239">
        <f t="shared" si="54"/>
        <v>3056.3372093023254</v>
      </c>
      <c r="AL336" s="239">
        <f>AX336*$AJ$327</f>
        <v>2451.9767441860463</v>
      </c>
      <c r="AM336" s="239">
        <f t="shared" si="52"/>
        <v>2451.9767441860463</v>
      </c>
      <c r="AN336" s="239">
        <f t="shared" si="52"/>
        <v>1241.1629999999998</v>
      </c>
      <c r="AO336" s="73" t="s">
        <v>501</v>
      </c>
      <c r="AP336" s="73" t="s">
        <v>501</v>
      </c>
      <c r="AS336" s="73" t="s">
        <v>501</v>
      </c>
      <c r="AT336" s="239">
        <f>1251.6*0.9/1.6</f>
        <v>704.02499999999998</v>
      </c>
      <c r="AU336" s="239">
        <f>1263.36*0.9/1.6</f>
        <v>710.63999999999987</v>
      </c>
      <c r="AV336" s="239">
        <f>2272/0.86*0.9/1.6</f>
        <v>1486.046511627907</v>
      </c>
      <c r="AW336" s="239">
        <f>2832/0.86*0.9/1.6</f>
        <v>1852.3255813953488</v>
      </c>
      <c r="AX336" s="239">
        <f>2272/0.86*0.9/1.6</f>
        <v>1486.046511627907</v>
      </c>
      <c r="AY336" s="239">
        <f>2272/0.86*0.9/1.6</f>
        <v>1486.046511627907</v>
      </c>
      <c r="AZ336" s="239">
        <f>1337.28*0.9/1.6</f>
        <v>752.21999999999991</v>
      </c>
      <c r="BA336" s="73" t="s">
        <v>501</v>
      </c>
      <c r="BB336" s="73" t="s">
        <v>501</v>
      </c>
    </row>
    <row r="337" spans="1:54" s="43" customFormat="1" ht="15.75" hidden="1">
      <c r="A337" s="52"/>
      <c r="B337" s="52">
        <v>14</v>
      </c>
      <c r="C337" s="35" t="s">
        <v>365</v>
      </c>
      <c r="D337" s="52" t="str">
        <f t="shared" si="42"/>
        <v>Option Selctd.</v>
      </c>
      <c r="E337" s="77" t="str">
        <f t="shared" si="48"/>
        <v/>
      </c>
      <c r="F337" s="35"/>
      <c r="G337" s="244" t="str">
        <f t="shared" si="39"/>
        <v/>
      </c>
      <c r="J337" s="267"/>
      <c r="K337" s="63"/>
      <c r="L337" s="63"/>
      <c r="M337" s="223">
        <f t="shared" si="49"/>
        <v>4063.4054999999989</v>
      </c>
      <c r="N337" s="223">
        <f t="shared" si="50"/>
        <v>2031.7027499999995</v>
      </c>
      <c r="O337" s="43">
        <v>1.65</v>
      </c>
      <c r="P337" s="233">
        <f>2189.04*0.9/1.6</f>
        <v>1231.3349999999998</v>
      </c>
      <c r="Q337" s="63"/>
      <c r="R337" s="30"/>
      <c r="S337" s="73" t="s">
        <v>427</v>
      </c>
      <c r="T337" s="73">
        <v>9</v>
      </c>
      <c r="U337" s="73" t="s">
        <v>501</v>
      </c>
      <c r="V337" s="239">
        <f>AH337*2</f>
        <v>1587.3164999999999</v>
      </c>
      <c r="W337" s="73" t="s">
        <v>501</v>
      </c>
      <c r="X337" s="73" t="s">
        <v>501</v>
      </c>
      <c r="Y337" s="73" t="s">
        <v>501</v>
      </c>
      <c r="Z337" s="73" t="s">
        <v>501</v>
      </c>
      <c r="AA337" s="73" t="s">
        <v>501</v>
      </c>
      <c r="AB337" s="73" t="s">
        <v>501</v>
      </c>
      <c r="AC337" s="73" t="s">
        <v>501</v>
      </c>
      <c r="AD337" s="73" t="s">
        <v>501</v>
      </c>
      <c r="AG337" s="73" t="s">
        <v>501</v>
      </c>
      <c r="AH337" s="239">
        <f>AT337*$AJ$327</f>
        <v>793.65824999999995</v>
      </c>
      <c r="AI337" s="73" t="s">
        <v>501</v>
      </c>
      <c r="AJ337" s="73" t="s">
        <v>501</v>
      </c>
      <c r="AK337" s="73" t="s">
        <v>501</v>
      </c>
      <c r="AL337" s="73" t="s">
        <v>501</v>
      </c>
      <c r="AM337" s="73" t="s">
        <v>501</v>
      </c>
      <c r="AN337" s="73" t="s">
        <v>501</v>
      </c>
      <c r="AO337" s="73" t="s">
        <v>501</v>
      </c>
      <c r="AP337" s="73" t="s">
        <v>501</v>
      </c>
      <c r="AS337" s="73" t="s">
        <v>501</v>
      </c>
      <c r="AT337" s="239">
        <f>855.12*0.9/1.6</f>
        <v>481.005</v>
      </c>
      <c r="AU337" s="73" t="s">
        <v>501</v>
      </c>
      <c r="AV337" s="73" t="s">
        <v>501</v>
      </c>
      <c r="AW337" s="73" t="s">
        <v>501</v>
      </c>
      <c r="AX337" s="73" t="s">
        <v>501</v>
      </c>
      <c r="AY337" s="73" t="s">
        <v>501</v>
      </c>
      <c r="AZ337" s="73" t="s">
        <v>501</v>
      </c>
      <c r="BA337" s="73" t="s">
        <v>501</v>
      </c>
      <c r="BB337" s="73" t="s">
        <v>501</v>
      </c>
    </row>
    <row r="338" spans="1:54" s="43" customFormat="1" ht="15.75" hidden="1">
      <c r="A338" s="52"/>
      <c r="B338" s="52">
        <v>14</v>
      </c>
      <c r="C338" s="35" t="s">
        <v>361</v>
      </c>
      <c r="D338" s="52" t="str">
        <f t="shared" si="42"/>
        <v>Option Selctd.</v>
      </c>
      <c r="E338" s="77" t="str">
        <f t="shared" si="48"/>
        <v/>
      </c>
      <c r="F338" s="35"/>
      <c r="G338" s="244" t="str">
        <f t="shared" si="39"/>
        <v/>
      </c>
      <c r="J338" s="267"/>
      <c r="K338" s="63"/>
      <c r="L338" s="63"/>
      <c r="M338" s="223">
        <f t="shared" si="49"/>
        <v>720.37349999999992</v>
      </c>
      <c r="N338" s="223">
        <f t="shared" si="50"/>
        <v>360.18674999999996</v>
      </c>
      <c r="O338" s="43">
        <v>1.65</v>
      </c>
      <c r="P338" s="233">
        <f>388.08*0.9/1.6</f>
        <v>218.29499999999999</v>
      </c>
      <c r="Q338" s="63"/>
      <c r="R338" s="30"/>
      <c r="S338" s="73"/>
      <c r="T338" s="73"/>
      <c r="U338" s="73"/>
      <c r="V338" s="73"/>
      <c r="W338" s="73"/>
      <c r="X338" s="73"/>
      <c r="Y338" s="73"/>
      <c r="Z338" s="73"/>
      <c r="AA338" s="73"/>
      <c r="AB338" s="73"/>
      <c r="AC338" s="73"/>
    </row>
    <row r="339" spans="1:54" s="43" customFormat="1" ht="15.75" hidden="1">
      <c r="A339" s="52"/>
      <c r="B339" s="52"/>
      <c r="C339" s="35"/>
      <c r="D339" s="52" t="str">
        <f t="shared" si="42"/>
        <v>Option Selctd.</v>
      </c>
      <c r="E339" s="77" t="str">
        <f t="shared" si="48"/>
        <v/>
      </c>
      <c r="F339" s="35"/>
      <c r="G339" s="244" t="str">
        <f t="shared" si="39"/>
        <v/>
      </c>
      <c r="H339" s="247"/>
      <c r="J339" s="267"/>
      <c r="K339" s="63"/>
      <c r="L339" s="63"/>
      <c r="Q339" s="63"/>
      <c r="R339" s="30"/>
      <c r="S339" s="73"/>
      <c r="T339" s="73"/>
      <c r="U339" s="73"/>
      <c r="V339" s="73"/>
      <c r="W339" s="73"/>
      <c r="X339" s="73" t="s">
        <v>648</v>
      </c>
      <c r="Y339" s="73"/>
      <c r="Z339" s="73" t="s">
        <v>76</v>
      </c>
      <c r="AA339" s="73"/>
      <c r="AB339" s="73"/>
      <c r="AC339" s="73"/>
    </row>
    <row r="340" spans="1:54" s="43" customFormat="1" ht="15.75" hidden="1">
      <c r="A340" s="52"/>
      <c r="B340" s="52">
        <v>14</v>
      </c>
      <c r="C340" s="35" t="s">
        <v>713</v>
      </c>
      <c r="D340" s="52" t="str">
        <f t="shared" si="42"/>
        <v>Option Selctd.</v>
      </c>
      <c r="E340" s="77" t="str">
        <f t="shared" si="48"/>
        <v/>
      </c>
      <c r="F340" s="35"/>
      <c r="G340" s="244" t="str">
        <f t="shared" si="39"/>
        <v/>
      </c>
      <c r="J340" s="267"/>
      <c r="K340" s="63"/>
      <c r="L340" s="63"/>
      <c r="M340" s="223">
        <f>N340*2</f>
        <v>198.02475000000001</v>
      </c>
      <c r="N340" s="223">
        <f>P340*O340</f>
        <v>99.012375000000006</v>
      </c>
      <c r="O340" s="43">
        <v>1.65</v>
      </c>
      <c r="P340" s="233">
        <f>106.68*0.9/1.6</f>
        <v>60.007500000000007</v>
      </c>
      <c r="Q340" s="63"/>
      <c r="R340" s="30"/>
      <c r="S340" s="73"/>
      <c r="T340" s="73"/>
      <c r="U340" s="73"/>
      <c r="V340" s="73"/>
      <c r="W340" s="73"/>
      <c r="X340" s="73" t="e">
        <f>VLOOKUP(F326,S329:T337,2,FALSE)</f>
        <v>#N/A</v>
      </c>
      <c r="Y340" s="73"/>
      <c r="Z340" s="73" t="e">
        <f>HLOOKUP(F325,U327:AD328,2,FALSE)</f>
        <v>#N/A</v>
      </c>
      <c r="AA340" s="73"/>
      <c r="AB340" s="73"/>
      <c r="AC340" s="73"/>
    </row>
    <row r="341" spans="1:54" s="43" customFormat="1" ht="15.75" hidden="1">
      <c r="A341" s="52"/>
      <c r="B341" s="52">
        <v>14</v>
      </c>
      <c r="C341" s="35" t="s">
        <v>714</v>
      </c>
      <c r="D341" s="52" t="str">
        <f t="shared" si="42"/>
        <v>Option Selctd.</v>
      </c>
      <c r="E341" s="77" t="str">
        <f t="shared" si="48"/>
        <v/>
      </c>
      <c r="F341" s="35"/>
      <c r="G341" s="244" t="str">
        <f t="shared" ref="G341:G390" si="55">IF(ISBLANK(A341),"",(A341*M341*(1-$H$3)))</f>
        <v/>
      </c>
      <c r="J341" s="267"/>
      <c r="K341" s="63"/>
      <c r="L341" s="63"/>
      <c r="M341" s="223">
        <f t="shared" ref="M341:M361" si="56">N341*2</f>
        <v>378.89774999999997</v>
      </c>
      <c r="N341" s="223">
        <f t="shared" ref="N341:N361" si="57">P341*O341</f>
        <v>189.44887499999999</v>
      </c>
      <c r="O341" s="43">
        <v>1.65</v>
      </c>
      <c r="P341" s="233">
        <f>204.12*0.9/1.6</f>
        <v>114.8175</v>
      </c>
      <c r="Q341" s="63"/>
      <c r="R341" s="30"/>
    </row>
    <row r="342" spans="1:54" s="43" customFormat="1" ht="15.75" hidden="1">
      <c r="A342" s="52"/>
      <c r="B342" s="52">
        <v>14</v>
      </c>
      <c r="C342" s="35" t="s">
        <v>366</v>
      </c>
      <c r="D342" s="52" t="str">
        <f t="shared" si="42"/>
        <v>Option Selctd.</v>
      </c>
      <c r="E342" s="77" t="str">
        <f t="shared" si="48"/>
        <v/>
      </c>
      <c r="F342" s="35"/>
      <c r="G342" s="244" t="str">
        <f t="shared" si="55"/>
        <v/>
      </c>
      <c r="J342" s="267"/>
      <c r="K342" s="63"/>
      <c r="L342" s="63"/>
      <c r="M342" s="223">
        <f t="shared" si="56"/>
        <v>339.91650000000004</v>
      </c>
      <c r="N342" s="223">
        <f t="shared" si="57"/>
        <v>169.95825000000002</v>
      </c>
      <c r="O342" s="43">
        <v>1.65</v>
      </c>
      <c r="P342" s="233">
        <f>183.12*0.9/1.6</f>
        <v>103.00500000000001</v>
      </c>
      <c r="Q342" s="63"/>
      <c r="R342" s="30"/>
    </row>
    <row r="343" spans="1:54" s="43" customFormat="1" ht="15.75" hidden="1">
      <c r="A343" s="52"/>
      <c r="B343" s="52">
        <v>14</v>
      </c>
      <c r="C343" s="35" t="s">
        <v>367</v>
      </c>
      <c r="D343" s="52" t="str">
        <f t="shared" si="42"/>
        <v>Option Selctd.</v>
      </c>
      <c r="E343" s="77" t="str">
        <f t="shared" si="48"/>
        <v/>
      </c>
      <c r="F343" s="35"/>
      <c r="G343" s="244" t="str">
        <f t="shared" si="55"/>
        <v/>
      </c>
      <c r="J343" s="267"/>
      <c r="K343" s="63"/>
      <c r="L343" s="63"/>
      <c r="M343" s="223">
        <f t="shared" si="56"/>
        <v>527.02650000000006</v>
      </c>
      <c r="N343" s="223">
        <f t="shared" si="57"/>
        <v>263.51325000000003</v>
      </c>
      <c r="O343" s="43">
        <v>1.65</v>
      </c>
      <c r="P343" s="233">
        <f>283.92*0.9/1.6</f>
        <v>159.70500000000001</v>
      </c>
      <c r="Q343" s="63"/>
      <c r="R343" s="30"/>
    </row>
    <row r="344" spans="1:54" s="43" customFormat="1" ht="15.75" hidden="1">
      <c r="A344" s="52"/>
      <c r="B344" s="52">
        <v>14</v>
      </c>
      <c r="C344" s="35" t="s">
        <v>715</v>
      </c>
      <c r="D344" s="52" t="str">
        <f t="shared" si="42"/>
        <v>Option Selctd.</v>
      </c>
      <c r="E344" s="77" t="str">
        <f t="shared" si="48"/>
        <v/>
      </c>
      <c r="F344" s="35"/>
      <c r="G344" s="244" t="str">
        <f t="shared" si="55"/>
        <v/>
      </c>
      <c r="J344" s="267"/>
      <c r="K344" s="63"/>
      <c r="L344" s="63"/>
      <c r="M344" s="223">
        <f t="shared" si="56"/>
        <v>478.68975</v>
      </c>
      <c r="N344" s="223">
        <f t="shared" si="57"/>
        <v>239.344875</v>
      </c>
      <c r="O344" s="43">
        <v>1.65</v>
      </c>
      <c r="P344" s="233">
        <f>257.88*0.9/1.6</f>
        <v>145.0575</v>
      </c>
      <c r="Q344" s="63"/>
      <c r="R344" s="30"/>
    </row>
    <row r="345" spans="1:54" s="43" customFormat="1" ht="15.75" hidden="1">
      <c r="A345" s="52"/>
      <c r="B345" s="52">
        <v>14</v>
      </c>
      <c r="C345" s="35" t="s">
        <v>716</v>
      </c>
      <c r="D345" s="52" t="str">
        <f t="shared" si="42"/>
        <v>Option Selctd.</v>
      </c>
      <c r="E345" s="77" t="str">
        <f t="shared" si="48"/>
        <v/>
      </c>
      <c r="F345" s="35"/>
      <c r="G345" s="244" t="str">
        <f t="shared" si="55"/>
        <v/>
      </c>
      <c r="J345" s="267"/>
      <c r="K345" s="63"/>
      <c r="L345" s="63"/>
      <c r="M345" s="223">
        <f t="shared" si="56"/>
        <v>665.7997499999999</v>
      </c>
      <c r="N345" s="223">
        <f t="shared" si="57"/>
        <v>332.89987499999995</v>
      </c>
      <c r="O345" s="43">
        <v>1.65</v>
      </c>
      <c r="P345" s="233">
        <f>358.68*0.9/1.6</f>
        <v>201.75749999999999</v>
      </c>
      <c r="Q345" s="63"/>
      <c r="R345" s="30"/>
    </row>
    <row r="346" spans="1:54" s="43" customFormat="1" ht="15.75" hidden="1">
      <c r="A346" s="52"/>
      <c r="B346" s="52">
        <v>14</v>
      </c>
      <c r="C346" s="35" t="s">
        <v>368</v>
      </c>
      <c r="D346" s="52" t="str">
        <f t="shared" si="42"/>
        <v>Option Selctd.</v>
      </c>
      <c r="E346" s="77" t="str">
        <f t="shared" si="48"/>
        <v/>
      </c>
      <c r="F346" s="35"/>
      <c r="G346" s="244" t="str">
        <f t="shared" si="55"/>
        <v/>
      </c>
      <c r="J346" s="267"/>
      <c r="K346" s="63"/>
      <c r="L346" s="63"/>
      <c r="M346" s="223">
        <f t="shared" si="56"/>
        <v>845.11349999999982</v>
      </c>
      <c r="N346" s="223">
        <f t="shared" si="57"/>
        <v>422.55674999999991</v>
      </c>
      <c r="O346" s="43">
        <v>1.65</v>
      </c>
      <c r="P346" s="233">
        <f>455.28*0.9/1.6</f>
        <v>256.09499999999997</v>
      </c>
      <c r="Q346" s="63"/>
      <c r="R346" s="30"/>
    </row>
    <row r="347" spans="1:54" s="43" customFormat="1" ht="15.75" hidden="1">
      <c r="A347" s="52"/>
      <c r="B347" s="52">
        <v>14</v>
      </c>
      <c r="C347" s="35" t="s">
        <v>369</v>
      </c>
      <c r="D347" s="52" t="str">
        <f t="shared" si="42"/>
        <v>Option Selctd.</v>
      </c>
      <c r="E347" s="77" t="str">
        <f t="shared" si="48"/>
        <v/>
      </c>
      <c r="F347" s="35"/>
      <c r="G347" s="244" t="str">
        <f t="shared" si="55"/>
        <v/>
      </c>
      <c r="J347" s="267"/>
      <c r="K347" s="63"/>
      <c r="L347" s="63"/>
      <c r="M347" s="223">
        <f t="shared" si="56"/>
        <v>1032.2235000000001</v>
      </c>
      <c r="N347" s="223">
        <f t="shared" si="57"/>
        <v>516.11175000000003</v>
      </c>
      <c r="O347" s="43">
        <v>1.65</v>
      </c>
      <c r="P347" s="233">
        <f>556.08*0.9/1.6</f>
        <v>312.79500000000002</v>
      </c>
      <c r="Q347" s="63"/>
      <c r="R347" s="30"/>
    </row>
    <row r="348" spans="1:54" s="43" customFormat="1" ht="15.75" hidden="1">
      <c r="A348" s="52"/>
      <c r="B348" s="52">
        <v>14</v>
      </c>
      <c r="C348" s="35" t="s">
        <v>717</v>
      </c>
      <c r="D348" s="52" t="str">
        <f t="shared" si="42"/>
        <v>Option Selctd.</v>
      </c>
      <c r="E348" s="77" t="str">
        <f t="shared" si="48"/>
        <v/>
      </c>
      <c r="F348" s="35"/>
      <c r="G348" s="244" t="str">
        <f t="shared" si="55"/>
        <v/>
      </c>
      <c r="J348" s="267"/>
      <c r="K348" s="63"/>
      <c r="L348" s="63"/>
      <c r="M348" s="223">
        <f t="shared" si="56"/>
        <v>594.07424999999989</v>
      </c>
      <c r="N348" s="223">
        <f t="shared" si="57"/>
        <v>297.03712499999995</v>
      </c>
      <c r="O348" s="43">
        <v>1.65</v>
      </c>
      <c r="P348" s="233">
        <f>320.04*0.9/1.6</f>
        <v>180.02249999999998</v>
      </c>
      <c r="Q348" s="63"/>
      <c r="R348" s="30"/>
    </row>
    <row r="349" spans="1:54" s="43" customFormat="1" ht="15.75" hidden="1">
      <c r="A349" s="52"/>
      <c r="B349" s="52">
        <v>14</v>
      </c>
      <c r="C349" s="35" t="s">
        <v>718</v>
      </c>
      <c r="D349" s="52" t="str">
        <f t="shared" si="42"/>
        <v>Option Selctd.</v>
      </c>
      <c r="E349" s="77" t="str">
        <f t="shared" si="48"/>
        <v/>
      </c>
      <c r="F349" s="35"/>
      <c r="G349" s="244" t="str">
        <f t="shared" si="55"/>
        <v/>
      </c>
      <c r="J349" s="267"/>
      <c r="K349" s="63"/>
      <c r="L349" s="63"/>
      <c r="M349" s="223">
        <f t="shared" si="56"/>
        <v>781.18424999999991</v>
      </c>
      <c r="N349" s="223">
        <f t="shared" si="57"/>
        <v>390.59212499999995</v>
      </c>
      <c r="O349" s="43">
        <v>1.65</v>
      </c>
      <c r="P349" s="233">
        <f>420.84*0.9/1.6</f>
        <v>236.72249999999997</v>
      </c>
      <c r="Q349" s="63"/>
      <c r="R349" s="30"/>
    </row>
    <row r="350" spans="1:54" s="43" customFormat="1" ht="15.75" hidden="1">
      <c r="A350" s="52"/>
      <c r="B350" s="52">
        <v>14</v>
      </c>
      <c r="C350" s="35" t="s">
        <v>370</v>
      </c>
      <c r="D350" s="52" t="str">
        <f t="shared" si="42"/>
        <v>Option Selctd.</v>
      </c>
      <c r="E350" s="77" t="str">
        <f t="shared" si="48"/>
        <v/>
      </c>
      <c r="F350" s="35"/>
      <c r="G350" s="244" t="str">
        <f t="shared" si="55"/>
        <v/>
      </c>
      <c r="J350" s="267"/>
      <c r="K350" s="63"/>
      <c r="L350" s="63"/>
      <c r="M350" s="223">
        <f t="shared" si="56"/>
        <v>1047.8159999999998</v>
      </c>
      <c r="N350" s="223">
        <f t="shared" si="57"/>
        <v>523.9079999999999</v>
      </c>
      <c r="O350" s="43">
        <v>1.65</v>
      </c>
      <c r="P350" s="233">
        <f>564.48*0.9/1.6</f>
        <v>317.52</v>
      </c>
      <c r="Q350" s="63"/>
      <c r="R350" s="30"/>
    </row>
    <row r="351" spans="1:54" s="43" customFormat="1" ht="15.75" hidden="1">
      <c r="A351" s="52"/>
      <c r="B351" s="52">
        <v>14</v>
      </c>
      <c r="C351" s="35" t="s">
        <v>371</v>
      </c>
      <c r="D351" s="52" t="str">
        <f t="shared" si="42"/>
        <v>Option Selctd.</v>
      </c>
      <c r="E351" s="77" t="str">
        <f t="shared" si="48"/>
        <v/>
      </c>
      <c r="F351" s="35"/>
      <c r="G351" s="244" t="str">
        <f t="shared" si="55"/>
        <v/>
      </c>
      <c r="J351" s="267"/>
      <c r="K351" s="63"/>
      <c r="L351" s="63"/>
      <c r="M351" s="223">
        <f t="shared" si="56"/>
        <v>1234.9259999999999</v>
      </c>
      <c r="N351" s="223">
        <f t="shared" si="57"/>
        <v>617.46299999999997</v>
      </c>
      <c r="O351" s="43">
        <v>1.65</v>
      </c>
      <c r="P351" s="233">
        <f>665.28*0.9/1.6</f>
        <v>374.21999999999997</v>
      </c>
      <c r="Q351" s="63"/>
      <c r="R351" s="30"/>
    </row>
    <row r="352" spans="1:54" s="43" customFormat="1" ht="15.75" hidden="1">
      <c r="A352" s="52"/>
      <c r="B352" s="52">
        <v>14</v>
      </c>
      <c r="C352" s="35" t="s">
        <v>372</v>
      </c>
      <c r="D352" s="52" t="str">
        <f t="shared" si="42"/>
        <v>Option Selctd.</v>
      </c>
      <c r="E352" s="77" t="str">
        <f t="shared" si="48"/>
        <v/>
      </c>
      <c r="F352" s="35"/>
      <c r="G352" s="244" t="str">
        <f t="shared" si="55"/>
        <v/>
      </c>
      <c r="J352" s="267"/>
      <c r="K352" s="63"/>
      <c r="L352" s="63"/>
      <c r="M352" s="223">
        <f t="shared" si="56"/>
        <v>303.33841463414632</v>
      </c>
      <c r="N352" s="223">
        <f t="shared" si="57"/>
        <v>151.66920731707316</v>
      </c>
      <c r="O352" s="43">
        <v>1.65</v>
      </c>
      <c r="P352" s="233">
        <f>134/0.82*0.9/1.6</f>
        <v>91.920731707317074</v>
      </c>
      <c r="Q352" s="63"/>
      <c r="R352" s="30"/>
    </row>
    <row r="353" spans="1:35" s="43" customFormat="1" ht="15.75" hidden="1">
      <c r="A353" s="52"/>
      <c r="B353" s="52">
        <v>14</v>
      </c>
      <c r="C353" s="35" t="s">
        <v>373</v>
      </c>
      <c r="D353" s="52" t="str">
        <f t="shared" si="42"/>
        <v>Option Selctd.</v>
      </c>
      <c r="E353" s="77" t="str">
        <f t="shared" si="48"/>
        <v/>
      </c>
      <c r="F353" s="35"/>
      <c r="G353" s="244" t="str">
        <f t="shared" si="55"/>
        <v/>
      </c>
      <c r="J353" s="267"/>
      <c r="K353" s="63"/>
      <c r="L353" s="63"/>
      <c r="M353" s="223">
        <f t="shared" si="56"/>
        <v>393.52499999999998</v>
      </c>
      <c r="N353" s="223">
        <f t="shared" si="57"/>
        <v>196.76249999999999</v>
      </c>
      <c r="O353" s="43">
        <v>1.65</v>
      </c>
      <c r="P353" s="233">
        <f>212*0.9/1.6</f>
        <v>119.25</v>
      </c>
      <c r="Q353" s="63"/>
      <c r="R353" s="30"/>
    </row>
    <row r="354" spans="1:35" s="43" customFormat="1" ht="15.75" hidden="1">
      <c r="A354" s="52"/>
      <c r="B354" s="52">
        <v>14</v>
      </c>
      <c r="C354" s="35" t="s">
        <v>374</v>
      </c>
      <c r="D354" s="52" t="str">
        <f t="shared" ref="D354:D388" si="58">IF(E354="","Option Selctd.","")</f>
        <v>Option Selctd.</v>
      </c>
      <c r="E354" s="77" t="str">
        <f t="shared" si="48"/>
        <v/>
      </c>
      <c r="F354" s="35"/>
      <c r="G354" s="244" t="str">
        <f t="shared" si="55"/>
        <v/>
      </c>
      <c r="J354" s="267"/>
      <c r="K354" s="63"/>
      <c r="L354" s="63"/>
      <c r="M354" s="223">
        <f t="shared" si="56"/>
        <v>393.52499999999998</v>
      </c>
      <c r="N354" s="223">
        <f t="shared" si="57"/>
        <v>196.76249999999999</v>
      </c>
      <c r="O354" s="43">
        <v>1.65</v>
      </c>
      <c r="P354" s="233">
        <f>212*0.9/1.6</f>
        <v>119.25</v>
      </c>
      <c r="Q354" s="63"/>
      <c r="R354" s="30"/>
    </row>
    <row r="355" spans="1:35" s="43" customFormat="1" ht="15.75" hidden="1">
      <c r="A355" s="52"/>
      <c r="B355" s="52">
        <v>14</v>
      </c>
      <c r="C355" s="35" t="s">
        <v>375</v>
      </c>
      <c r="D355" s="52" t="str">
        <f t="shared" si="58"/>
        <v>Option Selctd.</v>
      </c>
      <c r="E355" s="77" t="str">
        <f t="shared" si="48"/>
        <v/>
      </c>
      <c r="F355" s="35"/>
      <c r="G355" s="244" t="str">
        <f t="shared" si="55"/>
        <v/>
      </c>
      <c r="J355" s="267"/>
      <c r="K355" s="63"/>
      <c r="L355" s="63"/>
      <c r="M355" s="223">
        <f t="shared" si="56"/>
        <v>553.53374999999994</v>
      </c>
      <c r="N355" s="223">
        <f t="shared" si="57"/>
        <v>276.76687499999997</v>
      </c>
      <c r="O355" s="43">
        <v>1.65</v>
      </c>
      <c r="P355" s="233">
        <f>298.2*0.9/1.6</f>
        <v>167.73749999999998</v>
      </c>
      <c r="Q355" s="63"/>
      <c r="R355" s="30"/>
    </row>
    <row r="356" spans="1:35" s="43" customFormat="1" ht="15.75" hidden="1">
      <c r="A356" s="52"/>
      <c r="B356" s="52">
        <v>14</v>
      </c>
      <c r="C356" s="35" t="s">
        <v>376</v>
      </c>
      <c r="D356" s="52" t="str">
        <f t="shared" si="58"/>
        <v>Option Selctd.</v>
      </c>
      <c r="E356" s="77" t="str">
        <f t="shared" si="48"/>
        <v/>
      </c>
      <c r="F356" s="35"/>
      <c r="G356" s="244" t="str">
        <f t="shared" si="55"/>
        <v/>
      </c>
      <c r="J356" s="267"/>
      <c r="K356" s="63"/>
      <c r="L356" s="63"/>
      <c r="M356" s="223">
        <f t="shared" si="56"/>
        <v>266.63174999999995</v>
      </c>
      <c r="N356" s="223">
        <f t="shared" si="57"/>
        <v>133.31587499999998</v>
      </c>
      <c r="O356" s="43">
        <v>1.65</v>
      </c>
      <c r="P356" s="233">
        <f>143.64*0.9/1.6</f>
        <v>80.797499999999985</v>
      </c>
      <c r="Q356" s="63"/>
      <c r="R356" s="30"/>
    </row>
    <row r="357" spans="1:35" s="43" customFormat="1" ht="15.75" hidden="1">
      <c r="A357" s="52"/>
      <c r="B357" s="52">
        <v>14</v>
      </c>
      <c r="C357" s="35" t="s">
        <v>377</v>
      </c>
      <c r="D357" s="52" t="str">
        <f t="shared" si="58"/>
        <v>Option Selctd.</v>
      </c>
      <c r="E357" s="77" t="str">
        <f t="shared" si="48"/>
        <v/>
      </c>
      <c r="F357" s="35"/>
      <c r="G357" s="244" t="str">
        <f t="shared" si="55"/>
        <v/>
      </c>
      <c r="J357" s="267"/>
      <c r="K357" s="63"/>
      <c r="L357" s="63"/>
      <c r="M357" s="223">
        <f t="shared" si="56"/>
        <v>286.90199999999999</v>
      </c>
      <c r="N357" s="223">
        <f t="shared" si="57"/>
        <v>143.45099999999999</v>
      </c>
      <c r="O357" s="43">
        <v>1.65</v>
      </c>
      <c r="P357" s="233">
        <f>154.56*0.9/1.6</f>
        <v>86.94</v>
      </c>
      <c r="Q357" s="63"/>
      <c r="R357" s="30"/>
    </row>
    <row r="358" spans="1:35" s="43" customFormat="1" ht="15.75" hidden="1">
      <c r="A358" s="52"/>
      <c r="B358" s="52">
        <v>14</v>
      </c>
      <c r="C358" s="35" t="s">
        <v>378</v>
      </c>
      <c r="D358" s="52" t="str">
        <f t="shared" si="58"/>
        <v>Option Selctd.</v>
      </c>
      <c r="E358" s="77" t="str">
        <f t="shared" si="48"/>
        <v/>
      </c>
      <c r="F358" s="35"/>
      <c r="G358" s="244" t="str">
        <f t="shared" si="55"/>
        <v/>
      </c>
      <c r="J358" s="267"/>
      <c r="K358" s="63"/>
      <c r="L358" s="63"/>
      <c r="M358" s="223">
        <f t="shared" si="56"/>
        <v>367.983</v>
      </c>
      <c r="N358" s="223">
        <f t="shared" si="57"/>
        <v>183.9915</v>
      </c>
      <c r="O358" s="43">
        <v>1.65</v>
      </c>
      <c r="P358" s="233">
        <f>198.24*0.9/1.6</f>
        <v>111.51</v>
      </c>
      <c r="Q358" s="63"/>
      <c r="R358" s="30"/>
    </row>
    <row r="359" spans="1:35" s="43" customFormat="1" ht="15.75" hidden="1">
      <c r="A359" s="52"/>
      <c r="B359" s="52">
        <v>14</v>
      </c>
      <c r="C359" s="35" t="s">
        <v>379</v>
      </c>
      <c r="D359" s="52" t="str">
        <f t="shared" si="58"/>
        <v>Option Selctd.</v>
      </c>
      <c r="E359" s="77" t="str">
        <f t="shared" si="48"/>
        <v/>
      </c>
      <c r="F359" s="35"/>
      <c r="G359" s="244" t="str">
        <f t="shared" si="55"/>
        <v/>
      </c>
      <c r="J359" s="267"/>
      <c r="K359" s="63"/>
      <c r="L359" s="63"/>
      <c r="M359" s="223">
        <f t="shared" si="56"/>
        <v>559.77074999999991</v>
      </c>
      <c r="N359" s="223">
        <f t="shared" si="57"/>
        <v>279.88537499999995</v>
      </c>
      <c r="O359" s="43">
        <v>1.65</v>
      </c>
      <c r="P359" s="233">
        <f>301.56*0.9/1.6</f>
        <v>169.6275</v>
      </c>
      <c r="Q359" s="63"/>
      <c r="R359" s="30"/>
    </row>
    <row r="360" spans="1:35" s="43" customFormat="1" ht="15.75" hidden="1">
      <c r="A360" s="52"/>
      <c r="B360" s="52">
        <v>14</v>
      </c>
      <c r="C360" s="35" t="s">
        <v>380</v>
      </c>
      <c r="D360" s="52" t="str">
        <f t="shared" si="58"/>
        <v>Option Selctd.</v>
      </c>
      <c r="E360" s="77" t="str">
        <f t="shared" si="48"/>
        <v/>
      </c>
      <c r="F360" s="35"/>
      <c r="G360" s="244" t="str">
        <f t="shared" si="55"/>
        <v/>
      </c>
      <c r="J360" s="267"/>
      <c r="K360" s="63"/>
      <c r="L360" s="63"/>
      <c r="M360" s="223">
        <f t="shared" si="56"/>
        <v>246.36149999999998</v>
      </c>
      <c r="N360" s="223">
        <f t="shared" si="57"/>
        <v>123.18074999999999</v>
      </c>
      <c r="O360" s="43">
        <v>1.65</v>
      </c>
      <c r="P360" s="233">
        <f>132.72*0.9/1.6</f>
        <v>74.655000000000001</v>
      </c>
      <c r="Q360" s="63"/>
      <c r="R360" s="30"/>
    </row>
    <row r="361" spans="1:35" s="43" customFormat="1" ht="15.75" hidden="1">
      <c r="A361" s="52"/>
      <c r="B361" s="52">
        <v>14</v>
      </c>
      <c r="C361" s="35" t="s">
        <v>381</v>
      </c>
      <c r="D361" s="52" t="str">
        <f t="shared" si="58"/>
        <v>Option Selctd.</v>
      </c>
      <c r="E361" s="77" t="str">
        <f t="shared" si="48"/>
        <v/>
      </c>
      <c r="F361" s="35"/>
      <c r="G361" s="244" t="str">
        <f t="shared" si="55"/>
        <v/>
      </c>
      <c r="J361" s="267"/>
      <c r="K361" s="63"/>
      <c r="L361" s="63"/>
      <c r="M361" s="223">
        <f t="shared" si="56"/>
        <v>472.45274999999992</v>
      </c>
      <c r="N361" s="223">
        <f t="shared" si="57"/>
        <v>236.22637499999996</v>
      </c>
      <c r="O361" s="43">
        <v>1.65</v>
      </c>
      <c r="P361" s="233">
        <f>254.52*0.9/1.6</f>
        <v>143.16749999999999</v>
      </c>
      <c r="Q361" s="63"/>
      <c r="R361" s="30"/>
    </row>
    <row r="362" spans="1:35" s="43" customFormat="1" ht="15.75" hidden="1">
      <c r="A362" s="52"/>
      <c r="B362" s="52"/>
      <c r="C362" s="35"/>
      <c r="D362" s="52" t="str">
        <f t="shared" si="58"/>
        <v>Option Selctd.</v>
      </c>
      <c r="E362" s="77" t="str">
        <f t="shared" si="48"/>
        <v/>
      </c>
      <c r="F362" s="35"/>
      <c r="G362" s="244" t="str">
        <f t="shared" si="55"/>
        <v/>
      </c>
      <c r="H362" s="247"/>
      <c r="J362" s="267"/>
      <c r="K362" s="63"/>
      <c r="L362" s="63"/>
      <c r="Q362" s="63"/>
      <c r="R362" s="30"/>
    </row>
    <row r="363" spans="1:35" s="43" customFormat="1" ht="15.75" hidden="1">
      <c r="A363" s="52"/>
      <c r="B363" s="52">
        <v>14</v>
      </c>
      <c r="C363" s="35" t="str">
        <f>"Front Car Sill ("&amp;$C$9&amp;") Finish: "&amp;F363</f>
        <v>Front Car Sill () Finish: * Select Finish *</v>
      </c>
      <c r="D363" s="52" t="str">
        <f t="shared" si="58"/>
        <v>Option Selctd.</v>
      </c>
      <c r="E363" s="77" t="str">
        <f t="shared" si="48"/>
        <v/>
      </c>
      <c r="F363" s="270" t="s">
        <v>649</v>
      </c>
      <c r="G363" s="244" t="str">
        <f t="shared" si="55"/>
        <v/>
      </c>
      <c r="J363" s="267"/>
      <c r="K363" s="63"/>
      <c r="L363" s="63"/>
      <c r="M363" s="272" t="e">
        <f>INDEX($T$211:$W$213,VLOOKUP(F363,$AA$211:$AB$213,2,FALSE),VLOOKUP($C$9,$AD$210:$AE$213,2,FALSE))</f>
        <v>#N/A</v>
      </c>
      <c r="N363" s="73" t="s">
        <v>660</v>
      </c>
      <c r="Q363" s="63"/>
      <c r="R363" s="30"/>
    </row>
    <row r="364" spans="1:35" s="43" customFormat="1" ht="15.75" hidden="1">
      <c r="A364" s="52"/>
      <c r="B364" s="52">
        <v>14</v>
      </c>
      <c r="C364" s="35" t="str">
        <f>"Rear Car Sill ("&amp;$C$10&amp;") Finish: "&amp;F364</f>
        <v>Rear Car Sill () Finish: * Select Finish *</v>
      </c>
      <c r="D364" s="52" t="str">
        <f t="shared" si="58"/>
        <v>Option Selctd.</v>
      </c>
      <c r="E364" s="77" t="str">
        <f t="shared" si="48"/>
        <v/>
      </c>
      <c r="F364" s="270" t="s">
        <v>649</v>
      </c>
      <c r="G364" s="244" t="str">
        <f t="shared" si="55"/>
        <v/>
      </c>
      <c r="J364" s="267"/>
      <c r="K364" s="63"/>
      <c r="L364" s="63"/>
      <c r="M364" s="272" t="e">
        <f>INDEX($T$211:$W$213,VLOOKUP(F364,$AA$211:$AB$213,2,FALSE),VLOOKUP($C$10,$AD$210:$AE$213,2,FALSE))</f>
        <v>#N/A</v>
      </c>
      <c r="N364" s="73" t="s">
        <v>660</v>
      </c>
      <c r="Q364" s="63"/>
      <c r="R364" s="30"/>
    </row>
    <row r="365" spans="1:35" s="43" customFormat="1" ht="15.75" hidden="1">
      <c r="A365" s="52"/>
      <c r="B365" s="52"/>
      <c r="C365" s="35"/>
      <c r="D365" s="52" t="str">
        <f t="shared" si="58"/>
        <v>Option Selctd.</v>
      </c>
      <c r="E365" s="77" t="str">
        <f t="shared" si="48"/>
        <v/>
      </c>
      <c r="F365" s="35"/>
      <c r="G365" s="244" t="str">
        <f t="shared" si="55"/>
        <v/>
      </c>
      <c r="H365" s="247"/>
      <c r="J365" s="267"/>
      <c r="K365" s="63"/>
      <c r="L365" s="63"/>
      <c r="Q365" s="63"/>
      <c r="R365" s="30"/>
    </row>
    <row r="366" spans="1:35" ht="15.75" hidden="1">
      <c r="A366" s="52"/>
      <c r="B366" s="52">
        <v>14</v>
      </c>
      <c r="C366" s="35" t="s">
        <v>387</v>
      </c>
      <c r="D366" s="52" t="str">
        <f t="shared" si="58"/>
        <v>Option Selctd.</v>
      </c>
      <c r="E366" s="77" t="str">
        <f t="shared" si="48"/>
        <v/>
      </c>
      <c r="F366" s="35"/>
      <c r="G366" s="244" t="str">
        <f t="shared" si="55"/>
        <v/>
      </c>
      <c r="I366" s="43"/>
      <c r="J366" s="267"/>
      <c r="K366" s="63"/>
      <c r="L366" s="63"/>
      <c r="M366" s="223">
        <f>N366*2</f>
        <v>512.99324999999999</v>
      </c>
      <c r="N366" s="223">
        <f>P366*O366</f>
        <v>256.49662499999999</v>
      </c>
      <c r="O366" s="43">
        <v>1.65</v>
      </c>
      <c r="P366" s="233">
        <f>276.36*0.9/1.6</f>
        <v>155.45250000000001</v>
      </c>
      <c r="Q366" s="63"/>
      <c r="AF366" s="43"/>
      <c r="AG366" s="43"/>
      <c r="AH366" s="43"/>
      <c r="AI366" s="43"/>
    </row>
    <row r="367" spans="1:35" ht="15.75" hidden="1">
      <c r="A367" s="52"/>
      <c r="B367" s="52">
        <v>14</v>
      </c>
      <c r="C367" s="35" t="s">
        <v>388</v>
      </c>
      <c r="D367" s="52" t="str">
        <f t="shared" si="58"/>
        <v>Option Selctd.</v>
      </c>
      <c r="E367" s="77" t="str">
        <f t="shared" si="48"/>
        <v/>
      </c>
      <c r="F367" s="35"/>
      <c r="G367" s="244" t="str">
        <f t="shared" si="55"/>
        <v/>
      </c>
      <c r="I367" s="43"/>
      <c r="J367" s="267"/>
      <c r="K367" s="63"/>
      <c r="L367" s="63"/>
      <c r="M367" s="223">
        <f t="shared" ref="M367:M375" si="59">N367*2</f>
        <v>1679.3122499999999</v>
      </c>
      <c r="N367" s="223">
        <f t="shared" ref="N367:N375" si="60">P367*O367</f>
        <v>839.65612499999997</v>
      </c>
      <c r="O367" s="43">
        <v>1.65</v>
      </c>
      <c r="P367" s="233">
        <f>904.68*0.9/1.6</f>
        <v>508.88249999999999</v>
      </c>
      <c r="Q367" s="63"/>
      <c r="AF367" s="43"/>
      <c r="AG367" s="43"/>
      <c r="AH367" s="43"/>
      <c r="AI367" s="43"/>
    </row>
    <row r="368" spans="1:35" ht="15.75" hidden="1">
      <c r="A368" s="52"/>
      <c r="B368" s="52">
        <v>14</v>
      </c>
      <c r="C368" s="35" t="s">
        <v>719</v>
      </c>
      <c r="D368" s="52" t="str">
        <f t="shared" si="58"/>
        <v>Option Selctd.</v>
      </c>
      <c r="E368" s="77" t="str">
        <f t="shared" si="48"/>
        <v/>
      </c>
      <c r="F368" s="35" t="s">
        <v>179</v>
      </c>
      <c r="G368" s="244" t="str">
        <f t="shared" si="55"/>
        <v/>
      </c>
      <c r="I368" s="43"/>
      <c r="J368" s="267"/>
      <c r="K368" s="63"/>
      <c r="L368" s="63"/>
      <c r="M368" s="223">
        <f t="shared" si="59"/>
        <v>497.40074999999996</v>
      </c>
      <c r="N368" s="223">
        <f t="shared" si="60"/>
        <v>248.70037499999998</v>
      </c>
      <c r="O368" s="43">
        <v>1.65</v>
      </c>
      <c r="P368" s="233">
        <f>267.96*0.9/1.6</f>
        <v>150.72749999999999</v>
      </c>
      <c r="Q368" s="63"/>
      <c r="AF368" s="43"/>
      <c r="AG368" s="43"/>
      <c r="AH368" s="43"/>
      <c r="AI368" s="43"/>
    </row>
    <row r="369" spans="1:35" ht="15.75" hidden="1">
      <c r="A369" s="52"/>
      <c r="B369" s="52">
        <v>14</v>
      </c>
      <c r="C369" s="35" t="s">
        <v>389</v>
      </c>
      <c r="D369" s="52" t="str">
        <f t="shared" si="58"/>
        <v>Option Selctd.</v>
      </c>
      <c r="E369" s="77" t="str">
        <f t="shared" si="48"/>
        <v/>
      </c>
      <c r="F369" s="35"/>
      <c r="G369" s="244" t="str">
        <f t="shared" si="55"/>
        <v/>
      </c>
      <c r="I369" s="43"/>
      <c r="J369" s="267"/>
      <c r="K369" s="63"/>
      <c r="L369" s="63"/>
      <c r="M369" s="223">
        <f t="shared" si="59"/>
        <v>246.36149999999998</v>
      </c>
      <c r="N369" s="223">
        <f t="shared" si="60"/>
        <v>123.18074999999999</v>
      </c>
      <c r="O369" s="43">
        <v>1.65</v>
      </c>
      <c r="P369" s="233">
        <f>132.72*0.9/1.6</f>
        <v>74.655000000000001</v>
      </c>
      <c r="Q369" s="63"/>
      <c r="AF369" s="43"/>
      <c r="AG369" s="43"/>
      <c r="AH369" s="43"/>
      <c r="AI369" s="43"/>
    </row>
    <row r="370" spans="1:35" ht="15.75" hidden="1">
      <c r="A370" s="52"/>
      <c r="B370" s="52">
        <v>14</v>
      </c>
      <c r="C370" s="93" t="s">
        <v>720</v>
      </c>
      <c r="D370" s="52" t="str">
        <f t="shared" si="58"/>
        <v>Option Selctd.</v>
      </c>
      <c r="E370" s="77" t="str">
        <f t="shared" si="48"/>
        <v/>
      </c>
      <c r="F370" s="35"/>
      <c r="G370" s="244" t="str">
        <f t="shared" si="55"/>
        <v/>
      </c>
      <c r="I370" s="43"/>
      <c r="J370" s="267"/>
      <c r="K370" s="63"/>
      <c r="L370" s="63"/>
      <c r="M370" s="223">
        <f t="shared" si="59"/>
        <v>599.56874999999991</v>
      </c>
      <c r="N370" s="223">
        <f t="shared" si="60"/>
        <v>299.78437499999995</v>
      </c>
      <c r="O370" s="43">
        <v>1.65</v>
      </c>
      <c r="P370" s="233">
        <f>323*0.9/1.6</f>
        <v>181.68749999999997</v>
      </c>
      <c r="Q370" s="63"/>
      <c r="AF370" s="43"/>
    </row>
    <row r="371" spans="1:35" ht="15.75" hidden="1">
      <c r="A371" s="52"/>
      <c r="B371" s="52">
        <v>14</v>
      </c>
      <c r="C371" s="93" t="s">
        <v>721</v>
      </c>
      <c r="D371" s="52" t="str">
        <f t="shared" si="58"/>
        <v>Option Selctd.</v>
      </c>
      <c r="E371" s="77" t="str">
        <f t="shared" si="48"/>
        <v/>
      </c>
      <c r="F371" s="35"/>
      <c r="G371" s="244" t="str">
        <f t="shared" si="55"/>
        <v/>
      </c>
      <c r="I371" s="43"/>
      <c r="J371" s="267"/>
      <c r="K371" s="63"/>
      <c r="L371" s="63"/>
      <c r="M371" s="223">
        <f t="shared" si="59"/>
        <v>621.84375</v>
      </c>
      <c r="N371" s="223">
        <f t="shared" si="60"/>
        <v>310.921875</v>
      </c>
      <c r="O371" s="43">
        <v>1.65</v>
      </c>
      <c r="P371" s="233">
        <f>335*0.9/1.6</f>
        <v>188.4375</v>
      </c>
      <c r="Q371" s="63"/>
      <c r="AF371" s="43"/>
    </row>
    <row r="372" spans="1:35" ht="15.75" hidden="1">
      <c r="A372" s="52"/>
      <c r="B372" s="52">
        <v>14</v>
      </c>
      <c r="C372" s="93" t="s">
        <v>722</v>
      </c>
      <c r="D372" s="52" t="str">
        <f t="shared" si="58"/>
        <v>Option Selctd.</v>
      </c>
      <c r="E372" s="77" t="str">
        <f t="shared" si="48"/>
        <v/>
      </c>
      <c r="F372" s="35"/>
      <c r="G372" s="244" t="str">
        <f t="shared" si="55"/>
        <v/>
      </c>
      <c r="I372" s="43"/>
      <c r="J372" s="267"/>
      <c r="K372" s="63"/>
      <c r="L372" s="63"/>
      <c r="M372" s="223">
        <f t="shared" si="59"/>
        <v>1061.7749999999999</v>
      </c>
      <c r="N372" s="223">
        <f t="shared" si="60"/>
        <v>530.88749999999993</v>
      </c>
      <c r="O372" s="43">
        <v>1.65</v>
      </c>
      <c r="P372" s="233">
        <f>572*0.9/1.6</f>
        <v>321.75</v>
      </c>
      <c r="Q372" s="63"/>
      <c r="AF372" s="43"/>
    </row>
    <row r="373" spans="1:35" ht="15.75" hidden="1">
      <c r="A373" s="52"/>
      <c r="B373" s="52">
        <v>14</v>
      </c>
      <c r="C373" s="93" t="s">
        <v>390</v>
      </c>
      <c r="D373" s="52" t="str">
        <f t="shared" si="58"/>
        <v>Option Selctd.</v>
      </c>
      <c r="E373" s="77" t="str">
        <f t="shared" si="48"/>
        <v/>
      </c>
      <c r="F373" s="35"/>
      <c r="G373" s="244" t="str">
        <f t="shared" si="55"/>
        <v/>
      </c>
      <c r="I373" s="43"/>
      <c r="J373" s="267"/>
      <c r="K373" s="63"/>
      <c r="L373" s="63"/>
      <c r="M373" s="223">
        <f t="shared" si="59"/>
        <v>2474.3812499999999</v>
      </c>
      <c r="N373" s="223">
        <f t="shared" si="60"/>
        <v>1237.190625</v>
      </c>
      <c r="O373" s="43">
        <v>1.65</v>
      </c>
      <c r="P373" s="233">
        <f>1333*0.9/1.6</f>
        <v>749.8125</v>
      </c>
      <c r="Q373" s="63"/>
      <c r="AF373" s="43"/>
    </row>
    <row r="374" spans="1:35" ht="15.75" hidden="1">
      <c r="A374" s="52"/>
      <c r="B374" s="52">
        <v>14</v>
      </c>
      <c r="C374" s="35" t="s">
        <v>391</v>
      </c>
      <c r="D374" s="52" t="str">
        <f t="shared" si="58"/>
        <v>Option Selctd.</v>
      </c>
      <c r="E374" s="77" t="str">
        <f t="shared" si="48"/>
        <v/>
      </c>
      <c r="F374" s="35"/>
      <c r="G374" s="244" t="str">
        <f t="shared" si="55"/>
        <v/>
      </c>
      <c r="I374" s="43"/>
      <c r="J374" s="267"/>
      <c r="K374" s="63"/>
      <c r="L374" s="63"/>
      <c r="M374" s="223">
        <f t="shared" si="59"/>
        <v>116.94374999999999</v>
      </c>
      <c r="N374" s="223">
        <f t="shared" si="60"/>
        <v>58.471874999999997</v>
      </c>
      <c r="O374" s="43">
        <v>1.65</v>
      </c>
      <c r="P374" s="233">
        <f>63*0.9/1.6</f>
        <v>35.4375</v>
      </c>
      <c r="Q374" s="63"/>
      <c r="AF374" s="43"/>
    </row>
    <row r="375" spans="1:35" ht="15.75" hidden="1">
      <c r="A375" s="52"/>
      <c r="B375" s="52">
        <v>14</v>
      </c>
      <c r="C375" s="35" t="s">
        <v>392</v>
      </c>
      <c r="D375" s="52" t="str">
        <f t="shared" si="58"/>
        <v>Option Selctd.</v>
      </c>
      <c r="E375" s="77" t="str">
        <f t="shared" si="48"/>
        <v/>
      </c>
      <c r="F375" s="35"/>
      <c r="G375" s="244" t="str">
        <f t="shared" si="55"/>
        <v/>
      </c>
      <c r="I375" s="43"/>
      <c r="J375" s="267"/>
      <c r="K375" s="63"/>
      <c r="L375" s="63"/>
      <c r="M375" s="223">
        <f t="shared" si="59"/>
        <v>43.658999999999992</v>
      </c>
      <c r="N375" s="223">
        <f t="shared" si="60"/>
        <v>21.829499999999996</v>
      </c>
      <c r="O375" s="43">
        <v>1.65</v>
      </c>
      <c r="P375" s="233">
        <f>23.52*0.9/1.6</f>
        <v>13.229999999999999</v>
      </c>
      <c r="Q375" s="63"/>
      <c r="AF375" s="43"/>
    </row>
    <row r="376" spans="1:35" ht="15.75" hidden="1">
      <c r="A376" s="52"/>
      <c r="B376" s="52"/>
      <c r="C376" s="35"/>
      <c r="D376" s="52" t="str">
        <f t="shared" si="58"/>
        <v>Option Selctd.</v>
      </c>
      <c r="E376" s="77" t="str">
        <f t="shared" si="48"/>
        <v/>
      </c>
      <c r="F376" s="35"/>
      <c r="G376" s="244" t="str">
        <f t="shared" si="55"/>
        <v/>
      </c>
      <c r="H376" s="247"/>
      <c r="I376" s="43"/>
      <c r="J376" s="267"/>
      <c r="K376" s="63"/>
      <c r="L376" s="63"/>
      <c r="Q376" s="63"/>
      <c r="AF376" s="43"/>
    </row>
    <row r="377" spans="1:35" ht="15.75" hidden="1">
      <c r="A377" s="52"/>
      <c r="B377" s="52">
        <v>14</v>
      </c>
      <c r="C377" s="35" t="s">
        <v>393</v>
      </c>
      <c r="D377" s="52" t="str">
        <f t="shared" si="58"/>
        <v>Option Selctd.</v>
      </c>
      <c r="E377" s="77" t="str">
        <f t="shared" si="48"/>
        <v/>
      </c>
      <c r="F377" s="35"/>
      <c r="G377" s="244" t="str">
        <f t="shared" si="55"/>
        <v/>
      </c>
      <c r="I377" s="43"/>
      <c r="J377" s="267"/>
      <c r="K377" s="63"/>
      <c r="L377" s="63"/>
      <c r="M377" s="223">
        <f>N377*2</f>
        <v>77.962499999999991</v>
      </c>
      <c r="N377" s="223">
        <f>P377*O377</f>
        <v>38.981249999999996</v>
      </c>
      <c r="O377" s="43">
        <v>1.65</v>
      </c>
      <c r="P377" s="233">
        <f>42*0.9/1.6</f>
        <v>23.625</v>
      </c>
      <c r="Q377" s="63"/>
      <c r="AF377" s="43"/>
    </row>
    <row r="378" spans="1:35" ht="15.75" hidden="1">
      <c r="A378" s="52"/>
      <c r="B378" s="52">
        <v>14</v>
      </c>
      <c r="C378" s="35" t="s">
        <v>394</v>
      </c>
      <c r="D378" s="52" t="str">
        <f t="shared" si="58"/>
        <v>Option Selctd.</v>
      </c>
      <c r="E378" s="77" t="str">
        <f t="shared" si="48"/>
        <v/>
      </c>
      <c r="F378" s="35"/>
      <c r="G378" s="244" t="str">
        <f t="shared" si="55"/>
        <v/>
      </c>
      <c r="I378" s="43"/>
      <c r="J378" s="267"/>
      <c r="K378" s="63"/>
      <c r="L378" s="63"/>
      <c r="M378" s="223">
        <f>N378*2</f>
        <v>233.11046511627904</v>
      </c>
      <c r="N378" s="223">
        <f>P378*O378</f>
        <v>116.55523255813952</v>
      </c>
      <c r="O378" s="43">
        <v>1.65</v>
      </c>
      <c r="P378" s="233">
        <f>4.5*1.6*15/0.86*0.9/1.6</f>
        <v>70.639534883720927</v>
      </c>
      <c r="Q378" s="63"/>
      <c r="AF378" s="73"/>
    </row>
    <row r="379" spans="1:35" ht="15.75" hidden="1">
      <c r="A379" s="52"/>
      <c r="B379" s="52">
        <v>14</v>
      </c>
      <c r="C379" s="35" t="s">
        <v>395</v>
      </c>
      <c r="D379" s="52" t="str">
        <f t="shared" si="58"/>
        <v>Option Selctd.</v>
      </c>
      <c r="E379" s="77" t="str">
        <f t="shared" si="48"/>
        <v/>
      </c>
      <c r="F379" s="35"/>
      <c r="G379" s="244" t="str">
        <f t="shared" si="55"/>
        <v/>
      </c>
      <c r="I379" s="43"/>
      <c r="J379" s="73"/>
      <c r="K379" s="63"/>
      <c r="L379" s="63"/>
      <c r="M379" s="223">
        <f>N379*2</f>
        <v>681.37957317073176</v>
      </c>
      <c r="N379" s="223">
        <f>P379*O379</f>
        <v>340.68978658536588</v>
      </c>
      <c r="O379" s="43">
        <v>1.65</v>
      </c>
      <c r="P379" s="233">
        <f>301/0.82*0.9/1.6</f>
        <v>206.47865853658539</v>
      </c>
      <c r="Q379" s="63"/>
      <c r="AF379" s="73"/>
    </row>
    <row r="380" spans="1:35" ht="15.75" hidden="1">
      <c r="A380" s="52"/>
      <c r="B380" s="52"/>
      <c r="C380" s="35"/>
      <c r="D380" s="52" t="str">
        <f t="shared" si="58"/>
        <v>Option Selctd.</v>
      </c>
      <c r="E380" s="77" t="str">
        <f t="shared" si="48"/>
        <v/>
      </c>
      <c r="F380" s="35"/>
      <c r="G380" s="244" t="str">
        <f t="shared" si="55"/>
        <v/>
      </c>
      <c r="H380" s="247"/>
      <c r="I380" s="43"/>
      <c r="J380" s="73"/>
      <c r="K380" s="63"/>
      <c r="L380" s="63"/>
      <c r="Q380" s="63"/>
      <c r="AF380" s="73"/>
    </row>
    <row r="381" spans="1:35" ht="15.75" hidden="1">
      <c r="A381" s="52"/>
      <c r="B381" s="52">
        <v>14</v>
      </c>
      <c r="C381" s="35" t="str">
        <f>"Front Car Door ("&amp;$C$9&amp;") Finish: "&amp;F381</f>
        <v>Front Car Door () Finish: * Select Finish *</v>
      </c>
      <c r="D381" s="52" t="str">
        <f t="shared" si="58"/>
        <v>Option Selctd.</v>
      </c>
      <c r="E381" s="77" t="str">
        <f t="shared" si="48"/>
        <v/>
      </c>
      <c r="F381" s="270" t="s">
        <v>649</v>
      </c>
      <c r="G381" s="244" t="str">
        <f t="shared" si="55"/>
        <v/>
      </c>
      <c r="I381" s="43"/>
      <c r="J381" s="73"/>
      <c r="K381" s="63"/>
      <c r="L381" s="63"/>
      <c r="M381" s="272" t="e">
        <f>INDEX($T$197:$W$207,VLOOKUP(F381,$AA$197:$AB$207,2,FALSE),VLOOKUP($C$9,$AD$199:$AE$202,2,FALSE))</f>
        <v>#N/A</v>
      </c>
      <c r="N381" s="73" t="s">
        <v>650</v>
      </c>
      <c r="Q381" s="63"/>
      <c r="AF381" s="73"/>
    </row>
    <row r="382" spans="1:35" ht="15.75" hidden="1">
      <c r="A382" s="52"/>
      <c r="B382" s="52">
        <v>14</v>
      </c>
      <c r="C382" s="35" t="str">
        <f>"Rear Car Door ("&amp;$C$10&amp;") Finish: "&amp;F382</f>
        <v>Rear Car Door () Finish: * Select Finish *</v>
      </c>
      <c r="D382" s="52" t="str">
        <f t="shared" si="58"/>
        <v>Option Selctd.</v>
      </c>
      <c r="E382" s="77" t="str">
        <f t="shared" si="48"/>
        <v/>
      </c>
      <c r="F382" s="270" t="s">
        <v>649</v>
      </c>
      <c r="G382" s="244" t="str">
        <f t="shared" si="55"/>
        <v/>
      </c>
      <c r="I382" s="43"/>
      <c r="J382" s="73"/>
      <c r="K382" s="63"/>
      <c r="L382" s="63"/>
      <c r="M382" s="272" t="e">
        <f>INDEX($T$197:$W$207,VLOOKUP(F382,$AA$197:$AB$207,2,FALSE),VLOOKUP($C$10,$AD$199:$AE$202,2,FALSE))</f>
        <v>#N/A</v>
      </c>
      <c r="N382" s="73" t="s">
        <v>650</v>
      </c>
      <c r="Q382" s="63"/>
      <c r="AF382" s="73"/>
    </row>
    <row r="383" spans="1:35" ht="15.75" hidden="1">
      <c r="A383" s="52"/>
      <c r="B383" s="52"/>
      <c r="C383" s="35"/>
      <c r="D383" s="52" t="str">
        <f t="shared" si="58"/>
        <v>Option Selctd.</v>
      </c>
      <c r="E383" s="77" t="str">
        <f t="shared" si="48"/>
        <v/>
      </c>
      <c r="F383" s="86"/>
      <c r="G383" s="244" t="str">
        <f t="shared" si="55"/>
        <v/>
      </c>
      <c r="H383" s="272"/>
      <c r="I383" s="43"/>
      <c r="J383" s="73"/>
      <c r="K383" s="63"/>
      <c r="L383" s="63"/>
      <c r="Q383" s="63"/>
      <c r="AF383" s="73"/>
    </row>
    <row r="384" spans="1:35" ht="15.75" hidden="1">
      <c r="A384" s="52"/>
      <c r="B384" s="52">
        <v>14</v>
      </c>
      <c r="C384" s="35" t="s">
        <v>723</v>
      </c>
      <c r="D384" s="52" t="str">
        <f t="shared" si="58"/>
        <v>Option Selctd.</v>
      </c>
      <c r="E384" s="77" t="str">
        <f t="shared" si="48"/>
        <v/>
      </c>
      <c r="F384" s="35"/>
      <c r="G384" s="244" t="str">
        <f t="shared" si="55"/>
        <v/>
      </c>
      <c r="I384" s="43"/>
      <c r="J384" s="73"/>
      <c r="K384" s="63"/>
      <c r="L384" s="63"/>
      <c r="M384" s="223">
        <f>N384*2</f>
        <v>174.0234375</v>
      </c>
      <c r="N384" s="223">
        <f>P384*O384</f>
        <v>87.01171875</v>
      </c>
      <c r="O384" s="43">
        <v>1.65</v>
      </c>
      <c r="P384" s="233">
        <f>75/0.8*0.9/1.6</f>
        <v>52.734375</v>
      </c>
      <c r="Q384" s="63"/>
      <c r="AF384" s="73"/>
    </row>
    <row r="385" spans="1:256" s="73" customFormat="1" ht="15.75" hidden="1">
      <c r="A385" s="52"/>
      <c r="B385" s="52">
        <v>14</v>
      </c>
      <c r="C385" s="35" t="s">
        <v>724</v>
      </c>
      <c r="D385" s="52" t="str">
        <f t="shared" si="58"/>
        <v>Option Selctd.</v>
      </c>
      <c r="E385" s="77" t="str">
        <f t="shared" si="48"/>
        <v/>
      </c>
      <c r="F385" s="35"/>
      <c r="G385" s="244" t="str">
        <f t="shared" si="55"/>
        <v/>
      </c>
      <c r="I385" s="43"/>
      <c r="K385" s="63"/>
      <c r="L385" s="63"/>
      <c r="M385" s="223">
        <f>N385*2</f>
        <v>197.2265625</v>
      </c>
      <c r="N385" s="223">
        <f>P385*O385</f>
        <v>98.61328125</v>
      </c>
      <c r="O385" s="43">
        <v>1.65</v>
      </c>
      <c r="P385" s="233">
        <f>85/0.8*0.9/1.6</f>
        <v>59.765625</v>
      </c>
      <c r="Q385" s="63"/>
      <c r="R385" s="30"/>
      <c r="AG385" s="30"/>
      <c r="AH385" s="30"/>
      <c r="AI385" s="30"/>
    </row>
    <row r="386" spans="1:256" s="43" customFormat="1" ht="15.75" hidden="1">
      <c r="A386" s="52"/>
      <c r="B386" s="52">
        <v>14</v>
      </c>
      <c r="C386" s="35" t="s">
        <v>725</v>
      </c>
      <c r="D386" s="52" t="str">
        <f t="shared" si="58"/>
        <v>Option Selctd.</v>
      </c>
      <c r="E386" s="77" t="str">
        <f t="shared" si="48"/>
        <v/>
      </c>
      <c r="F386" s="35"/>
      <c r="G386" s="244" t="str">
        <f t="shared" si="55"/>
        <v/>
      </c>
      <c r="J386" s="73"/>
      <c r="K386" s="63"/>
      <c r="L386" s="63"/>
      <c r="M386" s="223">
        <f>N386*2</f>
        <v>220.4296875</v>
      </c>
      <c r="N386" s="223">
        <f>P386*O386</f>
        <v>110.21484375</v>
      </c>
      <c r="O386" s="43">
        <v>1.65</v>
      </c>
      <c r="P386" s="233">
        <f>95/0.8*0.9/1.6</f>
        <v>66.796875</v>
      </c>
      <c r="Q386" s="63"/>
      <c r="R386" s="30"/>
      <c r="Y386" s="73"/>
      <c r="Z386" s="73"/>
      <c r="AA386" s="73"/>
      <c r="AB386" s="73"/>
      <c r="AC386" s="73"/>
      <c r="AD386" s="73"/>
      <c r="AE386" s="73"/>
      <c r="AF386" s="73"/>
      <c r="AG386" s="30"/>
      <c r="AH386" s="30"/>
      <c r="AI386" s="30"/>
    </row>
    <row r="387" spans="1:256" s="43" customFormat="1" ht="15.75" hidden="1">
      <c r="A387" s="52"/>
      <c r="B387" s="52">
        <v>14</v>
      </c>
      <c r="C387" s="35" t="s">
        <v>726</v>
      </c>
      <c r="D387" s="52" t="str">
        <f t="shared" si="58"/>
        <v>Option Selctd.</v>
      </c>
      <c r="E387" s="77" t="str">
        <f t="shared" si="48"/>
        <v/>
      </c>
      <c r="F387" s="35"/>
      <c r="G387" s="244" t="str">
        <f t="shared" si="55"/>
        <v/>
      </c>
      <c r="J387" s="73"/>
      <c r="K387" s="63"/>
      <c r="L387" s="63"/>
      <c r="M387" s="223">
        <f>N387*2</f>
        <v>243.6328125</v>
      </c>
      <c r="N387" s="223">
        <f>P387*O387</f>
        <v>121.81640625</v>
      </c>
      <c r="O387" s="43">
        <v>1.65</v>
      </c>
      <c r="P387" s="233">
        <f>105/0.8*0.9/1.6</f>
        <v>73.828125</v>
      </c>
      <c r="Q387" s="63"/>
      <c r="R387" s="30"/>
      <c r="Y387" s="73"/>
      <c r="Z387" s="73"/>
      <c r="AA387" s="73"/>
      <c r="AB387" s="73"/>
      <c r="AC387" s="73"/>
      <c r="AD387" s="73"/>
      <c r="AE387" s="73"/>
      <c r="AF387" s="73"/>
      <c r="AG387" s="30"/>
      <c r="AH387" s="30"/>
      <c r="AI387" s="30"/>
    </row>
    <row r="388" spans="1:256" s="43" customFormat="1" ht="15.75" hidden="1">
      <c r="A388" s="52"/>
      <c r="B388" s="52"/>
      <c r="C388" s="35"/>
      <c r="D388" s="52" t="str">
        <f t="shared" si="58"/>
        <v>Option Selctd.</v>
      </c>
      <c r="E388" s="77" t="str">
        <f t="shared" si="48"/>
        <v/>
      </c>
      <c r="F388" s="35"/>
      <c r="G388" s="244" t="str">
        <f t="shared" si="55"/>
        <v/>
      </c>
      <c r="J388" s="73"/>
      <c r="K388" s="63"/>
      <c r="L388" s="63"/>
      <c r="P388" s="247"/>
      <c r="Q388" s="63"/>
      <c r="R388" s="30"/>
      <c r="Y388" s="73"/>
      <c r="Z388" s="73"/>
      <c r="AA388" s="73"/>
      <c r="AB388" s="73"/>
      <c r="AC388" s="73"/>
      <c r="AD388" s="73"/>
      <c r="AE388" s="73"/>
      <c r="AF388" s="73"/>
      <c r="AG388" s="30"/>
      <c r="AH388" s="30"/>
      <c r="AI388" s="30"/>
    </row>
    <row r="389" spans="1:256" s="43" customFormat="1" ht="75" hidden="1">
      <c r="A389" s="52"/>
      <c r="B389" s="52">
        <v>14</v>
      </c>
      <c r="C389" s="30" t="s">
        <v>727</v>
      </c>
      <c r="D389" s="52"/>
      <c r="E389" s="244" t="str">
        <f t="shared" ref="E389:E396" si="61">IF(ISBLANK(A389),"",(A389*M389*(1-$H$3)))</f>
        <v/>
      </c>
      <c r="F389" s="193" t="s">
        <v>728</v>
      </c>
      <c r="G389" s="244" t="str">
        <f t="shared" si="55"/>
        <v/>
      </c>
      <c r="J389" s="73"/>
      <c r="K389" s="63"/>
      <c r="L389" s="63"/>
      <c r="M389" s="223">
        <f>N389*2</f>
        <v>4073.4375</v>
      </c>
      <c r="N389" s="223">
        <f>P389*O389</f>
        <v>2036.71875</v>
      </c>
      <c r="O389" s="43">
        <v>1.65</v>
      </c>
      <c r="P389" s="233">
        <f>1975/1.6</f>
        <v>1234.375</v>
      </c>
      <c r="Q389" s="63"/>
      <c r="R389" s="30"/>
      <c r="Y389" s="73"/>
      <c r="Z389" s="73"/>
      <c r="AA389" s="73"/>
      <c r="AB389" s="73"/>
      <c r="AC389" s="73"/>
      <c r="AD389" s="73"/>
      <c r="AE389" s="73"/>
      <c r="AF389" s="73"/>
      <c r="AG389" s="30"/>
      <c r="AH389" s="30"/>
      <c r="AI389" s="30"/>
    </row>
    <row r="390" spans="1:256" s="43" customFormat="1" ht="15.75" hidden="1">
      <c r="A390" s="52"/>
      <c r="B390" s="52"/>
      <c r="C390" s="35"/>
      <c r="D390" s="52"/>
      <c r="E390" s="244" t="str">
        <f t="shared" si="61"/>
        <v/>
      </c>
      <c r="F390" s="35"/>
      <c r="G390" s="244" t="str">
        <f t="shared" si="55"/>
        <v/>
      </c>
      <c r="J390" s="73"/>
      <c r="K390" s="63"/>
      <c r="L390" s="63"/>
      <c r="P390" s="247"/>
      <c r="Q390" s="63"/>
      <c r="R390" s="30"/>
      <c r="Y390" s="73"/>
      <c r="Z390" s="73"/>
      <c r="AA390" s="73"/>
      <c r="AB390" s="73"/>
      <c r="AC390" s="73"/>
      <c r="AD390" s="73"/>
      <c r="AE390" s="73"/>
      <c r="AF390" s="73"/>
      <c r="AG390" s="30"/>
      <c r="AH390" s="30"/>
      <c r="AI390" s="30"/>
    </row>
    <row r="391" spans="1:256" s="43" customFormat="1" ht="15.75" hidden="1">
      <c r="A391" s="52"/>
      <c r="B391" s="52">
        <v>14</v>
      </c>
      <c r="C391" s="35" t="s">
        <v>400</v>
      </c>
      <c r="D391" s="52" t="s">
        <v>401</v>
      </c>
      <c r="E391" s="244" t="str">
        <f t="shared" si="61"/>
        <v/>
      </c>
      <c r="F391" s="35"/>
      <c r="G391" s="244"/>
      <c r="J391" s="73"/>
      <c r="K391" s="63"/>
      <c r="L391" s="63"/>
      <c r="M391" s="223">
        <f t="shared" ref="M391:M396" si="62">N391*2</f>
        <v>292.359375</v>
      </c>
      <c r="N391" s="223">
        <f t="shared" ref="N391:N396" si="63">P391*O391</f>
        <v>146.1796875</v>
      </c>
      <c r="O391" s="43">
        <v>1.65</v>
      </c>
      <c r="P391" s="233">
        <f>126/0.8*0.9/1.6</f>
        <v>88.59375</v>
      </c>
      <c r="Q391" s="63"/>
      <c r="R391" s="30"/>
      <c r="S391" s="73"/>
      <c r="T391" s="73"/>
      <c r="U391" s="73"/>
      <c r="V391" s="73"/>
      <c r="W391" s="73"/>
      <c r="X391" s="73"/>
      <c r="Y391" s="73"/>
      <c r="Z391" s="73"/>
      <c r="AA391" s="73"/>
      <c r="AB391" s="73"/>
      <c r="AC391" s="73"/>
      <c r="AD391" s="73"/>
      <c r="AE391" s="73"/>
      <c r="AF391" s="73"/>
      <c r="AG391" s="73"/>
      <c r="AH391" s="73"/>
      <c r="AI391" s="73"/>
    </row>
    <row r="392" spans="1:256" s="43" customFormat="1" ht="15.75" hidden="1">
      <c r="A392" s="52"/>
      <c r="B392" s="52">
        <v>14</v>
      </c>
      <c r="C392" s="35" t="s">
        <v>402</v>
      </c>
      <c r="D392" s="52" t="s">
        <v>401</v>
      </c>
      <c r="E392" s="244" t="str">
        <f t="shared" si="61"/>
        <v/>
      </c>
      <c r="F392" s="35"/>
      <c r="G392" s="244"/>
      <c r="J392" s="30"/>
      <c r="K392" s="63"/>
      <c r="L392" s="63"/>
      <c r="M392" s="223">
        <f t="shared" si="62"/>
        <v>452.4609375</v>
      </c>
      <c r="N392" s="223">
        <f t="shared" si="63"/>
        <v>226.23046875</v>
      </c>
      <c r="O392" s="43">
        <v>1.65</v>
      </c>
      <c r="P392" s="233">
        <f>195/0.8*0.9/1.6</f>
        <v>137.109375</v>
      </c>
      <c r="Q392" s="63"/>
      <c r="R392" s="30"/>
    </row>
    <row r="393" spans="1:256" s="43" customFormat="1" ht="15.75" hidden="1">
      <c r="A393" s="51"/>
      <c r="B393" s="51">
        <v>14</v>
      </c>
      <c r="C393" s="193" t="s">
        <v>403</v>
      </c>
      <c r="D393" s="51"/>
      <c r="E393" s="244" t="str">
        <f t="shared" si="61"/>
        <v/>
      </c>
      <c r="F393" s="193" t="s">
        <v>729</v>
      </c>
      <c r="G393" s="244"/>
      <c r="J393" s="73"/>
      <c r="K393" s="63"/>
      <c r="L393" s="63"/>
      <c r="M393" s="223">
        <f t="shared" si="62"/>
        <v>556.875</v>
      </c>
      <c r="N393" s="223">
        <f t="shared" si="63"/>
        <v>278.4375</v>
      </c>
      <c r="O393" s="43">
        <v>1.65</v>
      </c>
      <c r="P393" s="273">
        <f>300*0.9/1.6</f>
        <v>168.75</v>
      </c>
      <c r="Q393" s="63"/>
      <c r="R393" s="30"/>
    </row>
    <row r="394" spans="1:256" s="43" customFormat="1" ht="15.75" hidden="1">
      <c r="A394" s="52"/>
      <c r="B394" s="52">
        <v>14</v>
      </c>
      <c r="C394" s="35" t="s">
        <v>730</v>
      </c>
      <c r="D394" s="52"/>
      <c r="E394" s="244" t="str">
        <f t="shared" si="61"/>
        <v/>
      </c>
      <c r="F394" s="35" t="s">
        <v>320</v>
      </c>
      <c r="G394" s="244"/>
      <c r="J394" s="73"/>
      <c r="K394" s="63"/>
      <c r="L394" s="63"/>
      <c r="M394" s="223">
        <f t="shared" si="62"/>
        <v>197.2265625</v>
      </c>
      <c r="N394" s="223">
        <f t="shared" si="63"/>
        <v>98.61328125</v>
      </c>
      <c r="O394" s="43">
        <v>1.65</v>
      </c>
      <c r="P394" s="233">
        <f>85/0.8*0.9/1.6</f>
        <v>59.765625</v>
      </c>
      <c r="Q394" s="63"/>
      <c r="R394" s="30"/>
    </row>
    <row r="395" spans="1:256" s="43" customFormat="1" ht="15.75" hidden="1">
      <c r="A395" s="52"/>
      <c r="B395" s="52">
        <v>14</v>
      </c>
      <c r="C395" s="35" t="s">
        <v>731</v>
      </c>
      <c r="D395" s="52"/>
      <c r="E395" s="244" t="str">
        <f t="shared" si="61"/>
        <v/>
      </c>
      <c r="F395" s="35"/>
      <c r="G395" s="244"/>
      <c r="J395" s="73"/>
      <c r="K395" s="63"/>
      <c r="L395" s="63"/>
      <c r="M395" s="223">
        <f t="shared" si="62"/>
        <v>1793.1374999999998</v>
      </c>
      <c r="N395" s="223">
        <f t="shared" si="63"/>
        <v>896.56874999999991</v>
      </c>
      <c r="O395" s="43">
        <v>1.65</v>
      </c>
      <c r="P395" s="233">
        <f>966*0.9/1.6</f>
        <v>543.375</v>
      </c>
      <c r="Q395" s="63"/>
      <c r="R395" s="30"/>
    </row>
    <row r="396" spans="1:256" ht="15.75" hidden="1" customHeight="1" thickBot="1">
      <c r="A396" s="52"/>
      <c r="B396" s="52">
        <v>14</v>
      </c>
      <c r="C396" s="35"/>
      <c r="D396" s="52"/>
      <c r="E396" s="244" t="str">
        <f t="shared" si="61"/>
        <v/>
      </c>
      <c r="F396" s="35"/>
      <c r="G396" s="244"/>
      <c r="H396" s="242"/>
      <c r="I396" s="43"/>
      <c r="J396" s="73"/>
      <c r="K396" s="63"/>
      <c r="L396" s="63"/>
      <c r="M396" s="223">
        <f t="shared" si="62"/>
        <v>0</v>
      </c>
      <c r="N396" s="223">
        <f t="shared" si="63"/>
        <v>0</v>
      </c>
      <c r="O396" s="43">
        <v>1.65</v>
      </c>
      <c r="P396" s="43">
        <v>0</v>
      </c>
      <c r="Q396" s="63"/>
      <c r="S396" s="43"/>
      <c r="T396" s="43"/>
      <c r="U396" s="43"/>
      <c r="V396" s="43"/>
      <c r="W396" s="43"/>
      <c r="X396" s="43"/>
      <c r="Y396" s="43"/>
      <c r="Z396" s="43"/>
      <c r="AA396" s="43"/>
      <c r="AB396" s="43"/>
      <c r="AC396" s="43"/>
      <c r="AD396" s="43"/>
      <c r="AE396" s="43"/>
      <c r="AF396" s="43"/>
      <c r="AG396" s="43"/>
      <c r="AH396" s="43"/>
      <c r="AI396" s="43"/>
      <c r="AJ396" s="193"/>
      <c r="AK396" s="274"/>
      <c r="AL396" s="206"/>
      <c r="AM396" s="84"/>
      <c r="AN396" s="51"/>
      <c r="AP396" s="85"/>
      <c r="AQ396" s="275"/>
      <c r="AR396" s="193"/>
      <c r="AS396" s="274"/>
      <c r="AT396" s="206"/>
      <c r="AU396" s="84"/>
      <c r="AV396" s="51"/>
      <c r="AX396" s="85"/>
      <c r="AY396" s="275"/>
      <c r="AZ396" s="193"/>
      <c r="BA396" s="274"/>
      <c r="BB396" s="206"/>
      <c r="BC396" s="84"/>
      <c r="BD396" s="51"/>
      <c r="BF396" s="85"/>
      <c r="BG396" s="275"/>
      <c r="BH396" s="193"/>
      <c r="BI396" s="274"/>
      <c r="BJ396" s="206"/>
      <c r="BK396" s="84"/>
      <c r="BL396" s="51"/>
      <c r="BN396" s="85"/>
      <c r="BO396" s="275"/>
      <c r="BP396" s="193"/>
      <c r="BQ396" s="274"/>
      <c r="BR396" s="206"/>
      <c r="BS396" s="84"/>
      <c r="BT396" s="51"/>
      <c r="BV396" s="85"/>
      <c r="BW396" s="275"/>
      <c r="BX396" s="193"/>
      <c r="BY396" s="274"/>
      <c r="BZ396" s="206"/>
      <c r="CA396" s="84"/>
      <c r="CB396" s="51"/>
      <c r="CD396" s="85"/>
      <c r="CE396" s="275"/>
      <c r="CF396" s="193"/>
      <c r="CG396" s="274"/>
      <c r="CH396" s="206"/>
      <c r="CI396" s="84"/>
      <c r="CJ396" s="51"/>
      <c r="CL396" s="85"/>
      <c r="CM396" s="275"/>
      <c r="CN396" s="193"/>
      <c r="CO396" s="274"/>
      <c r="CP396" s="206"/>
      <c r="CQ396" s="84"/>
      <c r="CR396" s="51"/>
      <c r="CT396" s="85"/>
      <c r="CU396" s="275"/>
      <c r="CV396" s="193"/>
      <c r="CW396" s="274"/>
      <c r="CX396" s="206"/>
      <c r="CY396" s="84"/>
      <c r="CZ396" s="51"/>
      <c r="DB396" s="85"/>
      <c r="DC396" s="275"/>
      <c r="DD396" s="193"/>
      <c r="DE396" s="274"/>
      <c r="DF396" s="206"/>
      <c r="DG396" s="84"/>
      <c r="DH396" s="51"/>
      <c r="DJ396" s="85"/>
      <c r="DK396" s="275"/>
      <c r="DL396" s="193"/>
      <c r="DM396" s="274"/>
      <c r="DN396" s="206"/>
      <c r="DO396" s="84"/>
      <c r="DP396" s="51"/>
      <c r="DR396" s="85"/>
      <c r="DS396" s="275"/>
      <c r="DT396" s="193"/>
      <c r="DU396" s="274"/>
      <c r="DV396" s="206"/>
      <c r="DW396" s="84"/>
      <c r="DX396" s="51"/>
      <c r="DZ396" s="85"/>
      <c r="EA396" s="275"/>
      <c r="EB396" s="193"/>
      <c r="EC396" s="274"/>
      <c r="ED396" s="206"/>
      <c r="EE396" s="84"/>
      <c r="EF396" s="51"/>
      <c r="EH396" s="85"/>
      <c r="EI396" s="275"/>
      <c r="EJ396" s="193"/>
      <c r="EK396" s="274"/>
      <c r="EL396" s="206"/>
      <c r="EM396" s="84"/>
      <c r="EN396" s="51"/>
      <c r="EP396" s="85"/>
      <c r="EQ396" s="275"/>
      <c r="ER396" s="193"/>
      <c r="ES396" s="274"/>
      <c r="ET396" s="206"/>
      <c r="EU396" s="84"/>
      <c r="EV396" s="51"/>
      <c r="EX396" s="85"/>
      <c r="EY396" s="275"/>
      <c r="EZ396" s="193"/>
      <c r="FA396" s="274"/>
      <c r="FB396" s="206"/>
      <c r="FC396" s="84"/>
      <c r="FD396" s="51"/>
      <c r="FF396" s="85"/>
      <c r="FG396" s="275"/>
      <c r="FH396" s="193"/>
      <c r="FI396" s="274"/>
      <c r="FJ396" s="206"/>
      <c r="FK396" s="84"/>
      <c r="FL396" s="51"/>
      <c r="FN396" s="85"/>
      <c r="FO396" s="275"/>
      <c r="FP396" s="193"/>
      <c r="FQ396" s="274"/>
      <c r="FR396" s="206"/>
      <c r="FS396" s="84"/>
      <c r="FT396" s="51"/>
      <c r="FV396" s="85"/>
      <c r="FW396" s="275"/>
      <c r="FX396" s="193"/>
      <c r="FY396" s="274"/>
      <c r="FZ396" s="206"/>
      <c r="GA396" s="84"/>
      <c r="GB396" s="51"/>
      <c r="GD396" s="85"/>
      <c r="GE396" s="275"/>
      <c r="GF396" s="193"/>
      <c r="GG396" s="274"/>
      <c r="GH396" s="206"/>
      <c r="GI396" s="84"/>
      <c r="GJ396" s="51"/>
      <c r="GL396" s="85"/>
      <c r="GM396" s="275"/>
      <c r="GN396" s="193"/>
      <c r="GO396" s="274"/>
      <c r="GP396" s="206"/>
      <c r="GQ396" s="84"/>
      <c r="GR396" s="51"/>
      <c r="GT396" s="85"/>
      <c r="GU396" s="275"/>
      <c r="GV396" s="193"/>
      <c r="GW396" s="274"/>
      <c r="GX396" s="206"/>
      <c r="GY396" s="84"/>
      <c r="GZ396" s="51"/>
      <c r="HB396" s="85"/>
      <c r="HC396" s="275"/>
      <c r="HD396" s="193"/>
      <c r="HE396" s="274"/>
      <c r="HF396" s="206"/>
      <c r="HG396" s="84"/>
      <c r="HH396" s="51"/>
      <c r="HJ396" s="85"/>
      <c r="HK396" s="275"/>
      <c r="HL396" s="193"/>
      <c r="HM396" s="274"/>
      <c r="HN396" s="206"/>
      <c r="HO396" s="84"/>
      <c r="HP396" s="51"/>
      <c r="HR396" s="85"/>
      <c r="HS396" s="275"/>
      <c r="HT396" s="193"/>
      <c r="HU396" s="274"/>
      <c r="HV396" s="206"/>
      <c r="HW396" s="84"/>
      <c r="HX396" s="51"/>
      <c r="HZ396" s="85"/>
      <c r="IA396" s="275"/>
      <c r="IB396" s="193"/>
      <c r="IC396" s="274"/>
      <c r="ID396" s="206"/>
      <c r="IE396" s="84"/>
      <c r="IF396" s="51"/>
      <c r="IH396" s="85"/>
      <c r="II396" s="275"/>
      <c r="IJ396" s="193"/>
      <c r="IK396" s="274"/>
      <c r="IL396" s="206"/>
      <c r="IM396" s="84"/>
      <c r="IN396" s="51"/>
      <c r="IP396" s="85"/>
      <c r="IQ396" s="275"/>
      <c r="IR396" s="193"/>
      <c r="IS396" s="274"/>
      <c r="IT396" s="206"/>
      <c r="IU396" s="84"/>
      <c r="IV396" s="51"/>
    </row>
    <row r="397" spans="1:256" ht="15.75" hidden="1" customHeight="1" thickBot="1">
      <c r="A397" s="89" t="str">
        <f>IF(AM6=0,"","-")</f>
        <v/>
      </c>
      <c r="B397" s="90" t="s">
        <v>149</v>
      </c>
      <c r="C397" s="218" t="s">
        <v>406</v>
      </c>
      <c r="D397" s="91"/>
      <c r="E397" s="276"/>
      <c r="F397" s="92">
        <f>SUM(E398:E410)</f>
        <v>0</v>
      </c>
      <c r="G397" s="73"/>
      <c r="H397" s="266"/>
      <c r="I397" s="43"/>
      <c r="J397" s="73"/>
      <c r="K397" s="63"/>
      <c r="L397" s="63"/>
      <c r="Q397" s="63"/>
      <c r="S397" s="43"/>
      <c r="T397" s="43"/>
      <c r="U397" s="43"/>
      <c r="V397" s="43"/>
      <c r="W397" s="43"/>
      <c r="X397" s="43"/>
      <c r="Y397" s="43"/>
      <c r="Z397" s="43"/>
      <c r="AA397" s="43"/>
      <c r="AB397" s="43"/>
      <c r="AC397" s="43"/>
      <c r="AD397" s="43"/>
      <c r="AE397" s="43"/>
      <c r="AF397" s="43"/>
      <c r="AG397" s="43"/>
      <c r="AH397" s="43"/>
      <c r="AI397" s="43"/>
      <c r="AJ397" s="193"/>
      <c r="AK397" s="274"/>
      <c r="AL397" s="206"/>
      <c r="AM397" s="84"/>
      <c r="AN397" s="51"/>
      <c r="AP397" s="85"/>
      <c r="AQ397" s="275"/>
      <c r="AR397" s="193"/>
      <c r="AS397" s="274"/>
      <c r="AT397" s="206"/>
      <c r="AU397" s="84"/>
      <c r="AV397" s="51"/>
      <c r="AX397" s="85"/>
      <c r="AY397" s="275"/>
      <c r="AZ397" s="193"/>
      <c r="BA397" s="274"/>
      <c r="BB397" s="206"/>
      <c r="BC397" s="84"/>
      <c r="BD397" s="51"/>
      <c r="BF397" s="85"/>
      <c r="BG397" s="275"/>
      <c r="BH397" s="193"/>
      <c r="BI397" s="274"/>
      <c r="BJ397" s="206"/>
      <c r="BK397" s="84"/>
      <c r="BL397" s="51"/>
      <c r="BN397" s="85"/>
      <c r="BO397" s="275"/>
      <c r="BP397" s="193"/>
      <c r="BQ397" s="274"/>
      <c r="BR397" s="206"/>
      <c r="BS397" s="84"/>
      <c r="BT397" s="51"/>
      <c r="BV397" s="85"/>
      <c r="BW397" s="275"/>
      <c r="BX397" s="193"/>
      <c r="BY397" s="274"/>
      <c r="BZ397" s="206"/>
      <c r="CA397" s="84"/>
      <c r="CB397" s="51"/>
      <c r="CD397" s="85"/>
      <c r="CE397" s="275"/>
      <c r="CF397" s="193"/>
      <c r="CG397" s="274"/>
      <c r="CH397" s="206"/>
      <c r="CI397" s="84"/>
      <c r="CJ397" s="51"/>
      <c r="CL397" s="85"/>
      <c r="CM397" s="275"/>
      <c r="CN397" s="193"/>
      <c r="CO397" s="274"/>
      <c r="CP397" s="206"/>
      <c r="CQ397" s="84"/>
      <c r="CR397" s="51"/>
      <c r="CT397" s="85"/>
      <c r="CU397" s="275"/>
      <c r="CV397" s="193"/>
      <c r="CW397" s="274"/>
      <c r="CX397" s="206"/>
      <c r="CY397" s="84"/>
      <c r="CZ397" s="51"/>
      <c r="DB397" s="85"/>
      <c r="DC397" s="275"/>
      <c r="DD397" s="193"/>
      <c r="DE397" s="274"/>
      <c r="DF397" s="206"/>
      <c r="DG397" s="84"/>
      <c r="DH397" s="51"/>
      <c r="DJ397" s="85"/>
      <c r="DK397" s="275"/>
      <c r="DL397" s="193"/>
      <c r="DM397" s="274"/>
      <c r="DN397" s="206"/>
      <c r="DO397" s="84"/>
      <c r="DP397" s="51"/>
      <c r="DR397" s="85"/>
      <c r="DS397" s="275"/>
      <c r="DT397" s="193"/>
      <c r="DU397" s="274"/>
      <c r="DV397" s="206"/>
      <c r="DW397" s="84"/>
      <c r="DX397" s="51"/>
      <c r="DZ397" s="85"/>
      <c r="EA397" s="275"/>
      <c r="EB397" s="193"/>
      <c r="EC397" s="274"/>
      <c r="ED397" s="206"/>
      <c r="EE397" s="84"/>
      <c r="EF397" s="51"/>
      <c r="EH397" s="85"/>
      <c r="EI397" s="275"/>
      <c r="EJ397" s="193"/>
      <c r="EK397" s="274"/>
      <c r="EL397" s="206"/>
      <c r="EM397" s="84"/>
      <c r="EN397" s="51"/>
      <c r="EP397" s="85"/>
      <c r="EQ397" s="275"/>
      <c r="ER397" s="193"/>
      <c r="ES397" s="274"/>
      <c r="ET397" s="206"/>
      <c r="EU397" s="84"/>
      <c r="EV397" s="51"/>
      <c r="EX397" s="85"/>
      <c r="EY397" s="275"/>
      <c r="EZ397" s="193"/>
      <c r="FA397" s="274"/>
      <c r="FB397" s="206"/>
      <c r="FC397" s="84"/>
      <c r="FD397" s="51"/>
      <c r="FF397" s="85"/>
      <c r="FG397" s="275"/>
      <c r="FH397" s="193"/>
      <c r="FI397" s="274"/>
      <c r="FJ397" s="206"/>
      <c r="FK397" s="84"/>
      <c r="FL397" s="51"/>
      <c r="FN397" s="85"/>
      <c r="FO397" s="275"/>
      <c r="FP397" s="193"/>
      <c r="FQ397" s="274"/>
      <c r="FR397" s="206"/>
      <c r="FS397" s="84"/>
      <c r="FT397" s="51"/>
      <c r="FV397" s="85"/>
      <c r="FW397" s="275"/>
      <c r="FX397" s="193"/>
      <c r="FY397" s="274"/>
      <c r="FZ397" s="206"/>
      <c r="GA397" s="84"/>
      <c r="GB397" s="51"/>
      <c r="GD397" s="85"/>
      <c r="GE397" s="275"/>
      <c r="GF397" s="193"/>
      <c r="GG397" s="274"/>
      <c r="GH397" s="206"/>
      <c r="GI397" s="84"/>
      <c r="GJ397" s="51"/>
      <c r="GL397" s="85"/>
      <c r="GM397" s="275"/>
      <c r="GN397" s="193"/>
      <c r="GO397" s="274"/>
      <c r="GP397" s="206"/>
      <c r="GQ397" s="84"/>
      <c r="GR397" s="51"/>
      <c r="GT397" s="85"/>
      <c r="GU397" s="275"/>
      <c r="GV397" s="193"/>
      <c r="GW397" s="274"/>
      <c r="GX397" s="206"/>
      <c r="GY397" s="84"/>
      <c r="GZ397" s="51"/>
      <c r="HB397" s="85"/>
      <c r="HC397" s="275"/>
      <c r="HD397" s="193"/>
      <c r="HE397" s="274"/>
      <c r="HF397" s="206"/>
      <c r="HG397" s="84"/>
      <c r="HH397" s="51"/>
      <c r="HJ397" s="85"/>
      <c r="HK397" s="275"/>
      <c r="HL397" s="193"/>
      <c r="HM397" s="274"/>
      <c r="HN397" s="206"/>
      <c r="HO397" s="84"/>
      <c r="HP397" s="51"/>
      <c r="HR397" s="85"/>
      <c r="HS397" s="275"/>
      <c r="HT397" s="193"/>
      <c r="HU397" s="274"/>
      <c r="HV397" s="206"/>
      <c r="HW397" s="84"/>
      <c r="HX397" s="51"/>
      <c r="HZ397" s="85"/>
      <c r="IA397" s="275"/>
      <c r="IB397" s="193"/>
      <c r="IC397" s="274"/>
      <c r="ID397" s="206"/>
      <c r="IE397" s="84"/>
      <c r="IF397" s="51"/>
      <c r="IH397" s="85"/>
      <c r="II397" s="275"/>
      <c r="IJ397" s="193"/>
      <c r="IK397" s="274"/>
      <c r="IL397" s="206"/>
      <c r="IM397" s="84"/>
      <c r="IN397" s="51"/>
      <c r="IP397" s="85"/>
      <c r="IQ397" s="275"/>
      <c r="IR397" s="193"/>
      <c r="IS397" s="274"/>
      <c r="IT397" s="206"/>
      <c r="IU397" s="84"/>
      <c r="IV397" s="51"/>
    </row>
    <row r="398" spans="1:256" ht="15.75" hidden="1" customHeight="1">
      <c r="A398" s="69"/>
      <c r="B398" s="52">
        <v>11</v>
      </c>
      <c r="C398" s="235" t="s">
        <v>407</v>
      </c>
      <c r="D398" s="72"/>
      <c r="E398" s="277" t="str">
        <f>IF(ISBLANK(A398),"",SUM(G399:G410))</f>
        <v/>
      </c>
      <c r="F398" s="72"/>
      <c r="G398" s="73"/>
      <c r="H398" s="278"/>
      <c r="I398" s="43"/>
      <c r="J398" s="73"/>
      <c r="K398" s="63"/>
      <c r="L398" s="63"/>
      <c r="Q398" s="63"/>
      <c r="S398" s="43"/>
      <c r="T398" s="43"/>
      <c r="U398" s="43"/>
      <c r="V398" s="43"/>
      <c r="W398" s="43"/>
      <c r="X398" s="43"/>
      <c r="Y398" s="43"/>
      <c r="Z398" s="43"/>
      <c r="AA398" s="43"/>
      <c r="AB398" s="43"/>
      <c r="AC398" s="43"/>
      <c r="AD398" s="43"/>
      <c r="AE398" s="43"/>
      <c r="AF398" s="43"/>
      <c r="AG398" s="43"/>
      <c r="AH398" s="43"/>
      <c r="AI398" s="43"/>
      <c r="AJ398" s="193"/>
      <c r="AK398" s="274"/>
      <c r="AL398" s="206"/>
      <c r="AM398" s="84"/>
      <c r="AN398" s="51"/>
      <c r="AP398" s="85"/>
      <c r="AQ398" s="275"/>
      <c r="AR398" s="193"/>
      <c r="AS398" s="274"/>
      <c r="AT398" s="206"/>
      <c r="AU398" s="84"/>
      <c r="AV398" s="51"/>
      <c r="AX398" s="85"/>
      <c r="AY398" s="275"/>
      <c r="AZ398" s="193"/>
      <c r="BA398" s="274"/>
      <c r="BB398" s="206"/>
      <c r="BC398" s="84"/>
      <c r="BD398" s="51"/>
      <c r="BF398" s="85"/>
      <c r="BG398" s="275"/>
      <c r="BH398" s="193"/>
      <c r="BI398" s="274"/>
      <c r="BJ398" s="206"/>
      <c r="BK398" s="84"/>
      <c r="BL398" s="51"/>
      <c r="BN398" s="85"/>
      <c r="BO398" s="275"/>
      <c r="BP398" s="193"/>
      <c r="BQ398" s="274"/>
      <c r="BR398" s="206"/>
      <c r="BS398" s="84"/>
      <c r="BT398" s="51"/>
      <c r="BV398" s="85"/>
      <c r="BW398" s="275"/>
      <c r="BX398" s="193"/>
      <c r="BY398" s="274"/>
      <c r="BZ398" s="206"/>
      <c r="CA398" s="84"/>
      <c r="CB398" s="51"/>
      <c r="CD398" s="85"/>
      <c r="CE398" s="275"/>
      <c r="CF398" s="193"/>
      <c r="CG398" s="274"/>
      <c r="CH398" s="206"/>
      <c r="CI398" s="84"/>
      <c r="CJ398" s="51"/>
      <c r="CL398" s="85"/>
      <c r="CM398" s="275"/>
      <c r="CN398" s="193"/>
      <c r="CO398" s="274"/>
      <c r="CP398" s="206"/>
      <c r="CQ398" s="84"/>
      <c r="CR398" s="51"/>
      <c r="CT398" s="85"/>
      <c r="CU398" s="275"/>
      <c r="CV398" s="193"/>
      <c r="CW398" s="274"/>
      <c r="CX398" s="206"/>
      <c r="CY398" s="84"/>
      <c r="CZ398" s="51"/>
      <c r="DB398" s="85"/>
      <c r="DC398" s="275"/>
      <c r="DD398" s="193"/>
      <c r="DE398" s="274"/>
      <c r="DF398" s="206"/>
      <c r="DG398" s="84"/>
      <c r="DH398" s="51"/>
      <c r="DJ398" s="85"/>
      <c r="DK398" s="275"/>
      <c r="DL398" s="193"/>
      <c r="DM398" s="274"/>
      <c r="DN398" s="206"/>
      <c r="DO398" s="84"/>
      <c r="DP398" s="51"/>
      <c r="DR398" s="85"/>
      <c r="DS398" s="275"/>
      <c r="DT398" s="193"/>
      <c r="DU398" s="274"/>
      <c r="DV398" s="206"/>
      <c r="DW398" s="84"/>
      <c r="DX398" s="51"/>
      <c r="DZ398" s="85"/>
      <c r="EA398" s="275"/>
      <c r="EB398" s="193"/>
      <c r="EC398" s="274"/>
      <c r="ED398" s="206"/>
      <c r="EE398" s="84"/>
      <c r="EF398" s="51"/>
      <c r="EH398" s="85"/>
      <c r="EI398" s="275"/>
      <c r="EJ398" s="193"/>
      <c r="EK398" s="274"/>
      <c r="EL398" s="206"/>
      <c r="EM398" s="84"/>
      <c r="EN398" s="51"/>
      <c r="EP398" s="85"/>
      <c r="EQ398" s="275"/>
      <c r="ER398" s="193"/>
      <c r="ES398" s="274"/>
      <c r="ET398" s="206"/>
      <c r="EU398" s="84"/>
      <c r="EV398" s="51"/>
      <c r="EX398" s="85"/>
      <c r="EY398" s="275"/>
      <c r="EZ398" s="193"/>
      <c r="FA398" s="274"/>
      <c r="FB398" s="206"/>
      <c r="FC398" s="84"/>
      <c r="FD398" s="51"/>
      <c r="FF398" s="85"/>
      <c r="FG398" s="275"/>
      <c r="FH398" s="193"/>
      <c r="FI398" s="274"/>
      <c r="FJ398" s="206"/>
      <c r="FK398" s="84"/>
      <c r="FL398" s="51"/>
      <c r="FN398" s="85"/>
      <c r="FO398" s="275"/>
      <c r="FP398" s="193"/>
      <c r="FQ398" s="274"/>
      <c r="FR398" s="206"/>
      <c r="FS398" s="84"/>
      <c r="FT398" s="51"/>
      <c r="FV398" s="85"/>
      <c r="FW398" s="275"/>
      <c r="FX398" s="193"/>
      <c r="FY398" s="274"/>
      <c r="FZ398" s="206"/>
      <c r="GA398" s="84"/>
      <c r="GB398" s="51"/>
      <c r="GD398" s="85"/>
      <c r="GE398" s="275"/>
      <c r="GF398" s="193"/>
      <c r="GG398" s="274"/>
      <c r="GH398" s="206"/>
      <c r="GI398" s="84"/>
      <c r="GJ398" s="51"/>
      <c r="GL398" s="85"/>
      <c r="GM398" s="275"/>
      <c r="GN398" s="193"/>
      <c r="GO398" s="274"/>
      <c r="GP398" s="206"/>
      <c r="GQ398" s="84"/>
      <c r="GR398" s="51"/>
      <c r="GT398" s="85"/>
      <c r="GU398" s="275"/>
      <c r="GV398" s="193"/>
      <c r="GW398" s="274"/>
      <c r="GX398" s="206"/>
      <c r="GY398" s="84"/>
      <c r="GZ398" s="51"/>
      <c r="HB398" s="85"/>
      <c r="HC398" s="275"/>
      <c r="HD398" s="193"/>
      <c r="HE398" s="274"/>
      <c r="HF398" s="206"/>
      <c r="HG398" s="84"/>
      <c r="HH398" s="51"/>
      <c r="HJ398" s="85"/>
      <c r="HK398" s="275"/>
      <c r="HL398" s="193"/>
      <c r="HM398" s="274"/>
      <c r="HN398" s="206"/>
      <c r="HO398" s="84"/>
      <c r="HP398" s="51"/>
      <c r="HR398" s="85"/>
      <c r="HS398" s="275"/>
      <c r="HT398" s="193"/>
      <c r="HU398" s="274"/>
      <c r="HV398" s="206"/>
      <c r="HW398" s="84"/>
      <c r="HX398" s="51"/>
      <c r="HZ398" s="85"/>
      <c r="IA398" s="275"/>
      <c r="IB398" s="193"/>
      <c r="IC398" s="274"/>
      <c r="ID398" s="206"/>
      <c r="IE398" s="84"/>
      <c r="IF398" s="51"/>
      <c r="IH398" s="85"/>
      <c r="II398" s="275"/>
      <c r="IJ398" s="193"/>
      <c r="IK398" s="274"/>
      <c r="IL398" s="206"/>
      <c r="IM398" s="84"/>
      <c r="IN398" s="51"/>
      <c r="IP398" s="85"/>
      <c r="IQ398" s="275"/>
      <c r="IR398" s="193"/>
      <c r="IS398" s="274"/>
      <c r="IT398" s="206"/>
      <c r="IU398" s="84"/>
      <c r="IV398" s="51"/>
    </row>
    <row r="399" spans="1:256" ht="15.75" hidden="1" customHeight="1">
      <c r="A399" s="69"/>
      <c r="B399" s="52">
        <v>11</v>
      </c>
      <c r="C399" s="231" t="s">
        <v>732</v>
      </c>
      <c r="D399" s="72" t="s">
        <v>270</v>
      </c>
      <c r="E399" s="279"/>
      <c r="F399" s="72"/>
      <c r="G399" s="244" t="str">
        <f>IF(ISBLANK(A399),"",(A399*M399*(1-$H$3)))</f>
        <v/>
      </c>
      <c r="I399" s="43"/>
      <c r="J399" s="73"/>
      <c r="K399" s="63"/>
      <c r="L399" s="63"/>
      <c r="M399" s="223">
        <f t="shared" ref="M399:M410" si="64">N399*2</f>
        <v>0</v>
      </c>
      <c r="N399" s="223">
        <f>P399*O399</f>
        <v>0</v>
      </c>
      <c r="O399" s="43">
        <v>1.65</v>
      </c>
      <c r="P399" s="280"/>
      <c r="Q399" s="63"/>
      <c r="S399" s="43"/>
      <c r="T399" s="43"/>
      <c r="U399" s="43"/>
      <c r="V399" s="43"/>
      <c r="W399" s="43"/>
      <c r="X399" s="43"/>
      <c r="Y399" s="43"/>
      <c r="Z399" s="43"/>
      <c r="AA399" s="43"/>
      <c r="AB399" s="43"/>
      <c r="AC399" s="43"/>
      <c r="AD399" s="43"/>
      <c r="AE399" s="43"/>
      <c r="AF399" s="43"/>
      <c r="AG399" s="43"/>
      <c r="AH399" s="43"/>
      <c r="AI399" s="43"/>
      <c r="AJ399" s="193"/>
      <c r="AK399" s="274"/>
      <c r="AL399" s="206"/>
      <c r="AM399" s="84"/>
      <c r="AN399" s="51"/>
      <c r="AP399" s="85"/>
      <c r="AQ399" s="275"/>
      <c r="AR399" s="193"/>
      <c r="AS399" s="274"/>
      <c r="AT399" s="206"/>
      <c r="AU399" s="84"/>
      <c r="AV399" s="51"/>
      <c r="AX399" s="85"/>
      <c r="AY399" s="275"/>
      <c r="AZ399" s="193"/>
      <c r="BA399" s="274"/>
      <c r="BB399" s="206"/>
      <c r="BC399" s="84"/>
      <c r="BD399" s="51"/>
      <c r="BF399" s="85"/>
      <c r="BG399" s="275"/>
      <c r="BH399" s="193"/>
      <c r="BI399" s="274"/>
      <c r="BJ399" s="206"/>
      <c r="BK399" s="84"/>
      <c r="BL399" s="51"/>
      <c r="BN399" s="85"/>
      <c r="BO399" s="275"/>
      <c r="BP399" s="193"/>
      <c r="BQ399" s="274"/>
      <c r="BR399" s="206"/>
      <c r="BS399" s="84"/>
      <c r="BT399" s="51"/>
      <c r="BV399" s="85"/>
      <c r="BW399" s="275"/>
      <c r="BX399" s="193"/>
      <c r="BY399" s="274"/>
      <c r="BZ399" s="206"/>
      <c r="CA399" s="84"/>
      <c r="CB399" s="51"/>
      <c r="CD399" s="85"/>
      <c r="CE399" s="275"/>
      <c r="CF399" s="193"/>
      <c r="CG399" s="274"/>
      <c r="CH399" s="206"/>
      <c r="CI399" s="84"/>
      <c r="CJ399" s="51"/>
      <c r="CL399" s="85"/>
      <c r="CM399" s="275"/>
      <c r="CN399" s="193"/>
      <c r="CO399" s="274"/>
      <c r="CP399" s="206"/>
      <c r="CQ399" s="84"/>
      <c r="CR399" s="51"/>
      <c r="CT399" s="85"/>
      <c r="CU399" s="275"/>
      <c r="CV399" s="193"/>
      <c r="CW399" s="274"/>
      <c r="CX399" s="206"/>
      <c r="CY399" s="84"/>
      <c r="CZ399" s="51"/>
      <c r="DB399" s="85"/>
      <c r="DC399" s="275"/>
      <c r="DD399" s="193"/>
      <c r="DE399" s="274"/>
      <c r="DF399" s="206"/>
      <c r="DG399" s="84"/>
      <c r="DH399" s="51"/>
      <c r="DJ399" s="85"/>
      <c r="DK399" s="275"/>
      <c r="DL399" s="193"/>
      <c r="DM399" s="274"/>
      <c r="DN399" s="206"/>
      <c r="DO399" s="84"/>
      <c r="DP399" s="51"/>
      <c r="DR399" s="85"/>
      <c r="DS399" s="275"/>
      <c r="DT399" s="193"/>
      <c r="DU399" s="274"/>
      <c r="DV399" s="206"/>
      <c r="DW399" s="84"/>
      <c r="DX399" s="51"/>
      <c r="DZ399" s="85"/>
      <c r="EA399" s="275"/>
      <c r="EB399" s="193"/>
      <c r="EC399" s="274"/>
      <c r="ED399" s="206"/>
      <c r="EE399" s="84"/>
      <c r="EF399" s="51"/>
      <c r="EH399" s="85"/>
      <c r="EI399" s="275"/>
      <c r="EJ399" s="193"/>
      <c r="EK399" s="274"/>
      <c r="EL399" s="206"/>
      <c r="EM399" s="84"/>
      <c r="EN399" s="51"/>
      <c r="EP399" s="85"/>
      <c r="EQ399" s="275"/>
      <c r="ER399" s="193"/>
      <c r="ES399" s="274"/>
      <c r="ET399" s="206"/>
      <c r="EU399" s="84"/>
      <c r="EV399" s="51"/>
      <c r="EX399" s="85"/>
      <c r="EY399" s="275"/>
      <c r="EZ399" s="193"/>
      <c r="FA399" s="274"/>
      <c r="FB399" s="206"/>
      <c r="FC399" s="84"/>
      <c r="FD399" s="51"/>
      <c r="FF399" s="85"/>
      <c r="FG399" s="275"/>
      <c r="FH399" s="193"/>
      <c r="FI399" s="274"/>
      <c r="FJ399" s="206"/>
      <c r="FK399" s="84"/>
      <c r="FL399" s="51"/>
      <c r="FN399" s="85"/>
      <c r="FO399" s="275"/>
      <c r="FP399" s="193"/>
      <c r="FQ399" s="274"/>
      <c r="FR399" s="206"/>
      <c r="FS399" s="84"/>
      <c r="FT399" s="51"/>
      <c r="FV399" s="85"/>
      <c r="FW399" s="275"/>
      <c r="FX399" s="193"/>
      <c r="FY399" s="274"/>
      <c r="FZ399" s="206"/>
      <c r="GA399" s="84"/>
      <c r="GB399" s="51"/>
      <c r="GD399" s="85"/>
      <c r="GE399" s="275"/>
      <c r="GF399" s="193"/>
      <c r="GG399" s="274"/>
      <c r="GH399" s="206"/>
      <c r="GI399" s="84"/>
      <c r="GJ399" s="51"/>
      <c r="GL399" s="85"/>
      <c r="GM399" s="275"/>
      <c r="GN399" s="193"/>
      <c r="GO399" s="274"/>
      <c r="GP399" s="206"/>
      <c r="GQ399" s="84"/>
      <c r="GR399" s="51"/>
      <c r="GT399" s="85"/>
      <c r="GU399" s="275"/>
      <c r="GV399" s="193"/>
      <c r="GW399" s="274"/>
      <c r="GX399" s="206"/>
      <c r="GY399" s="84"/>
      <c r="GZ399" s="51"/>
      <c r="HB399" s="85"/>
      <c r="HC399" s="275"/>
      <c r="HD399" s="193"/>
      <c r="HE399" s="274"/>
      <c r="HF399" s="206"/>
      <c r="HG399" s="84"/>
      <c r="HH399" s="51"/>
      <c r="HJ399" s="85"/>
      <c r="HK399" s="275"/>
      <c r="HL399" s="193"/>
      <c r="HM399" s="274"/>
      <c r="HN399" s="206"/>
      <c r="HO399" s="84"/>
      <c r="HP399" s="51"/>
      <c r="HR399" s="85"/>
      <c r="HS399" s="275"/>
      <c r="HT399" s="193"/>
      <c r="HU399" s="274"/>
      <c r="HV399" s="206"/>
      <c r="HW399" s="84"/>
      <c r="HX399" s="51"/>
      <c r="HZ399" s="85"/>
      <c r="IA399" s="275"/>
      <c r="IB399" s="193"/>
      <c r="IC399" s="274"/>
      <c r="ID399" s="206"/>
      <c r="IE399" s="84"/>
      <c r="IF399" s="51"/>
      <c r="IH399" s="85"/>
      <c r="II399" s="275"/>
      <c r="IJ399" s="193"/>
      <c r="IK399" s="274"/>
      <c r="IL399" s="206"/>
      <c r="IM399" s="84"/>
      <c r="IN399" s="51"/>
      <c r="IP399" s="85"/>
      <c r="IQ399" s="275"/>
      <c r="IR399" s="193"/>
      <c r="IS399" s="274"/>
      <c r="IT399" s="206"/>
      <c r="IU399" s="84"/>
      <c r="IV399" s="51"/>
    </row>
    <row r="400" spans="1:256" ht="15.75" hidden="1" customHeight="1">
      <c r="A400" s="69"/>
      <c r="B400" s="52">
        <v>11</v>
      </c>
      <c r="C400" s="231" t="s">
        <v>733</v>
      </c>
      <c r="D400" s="72" t="s">
        <v>270</v>
      </c>
      <c r="E400" s="279"/>
      <c r="F400" s="72"/>
      <c r="G400" s="244" t="str">
        <f t="shared" ref="G400:G410" si="65">IF(ISBLANK(A400),"",(A400*M400*(1-$H$3)))</f>
        <v/>
      </c>
      <c r="I400" s="43"/>
      <c r="J400" s="73"/>
      <c r="K400" s="63"/>
      <c r="L400" s="63"/>
      <c r="M400" s="223">
        <f t="shared" si="64"/>
        <v>0</v>
      </c>
      <c r="N400" s="223">
        <f t="shared" ref="N400:N410" si="66">P400*O400</f>
        <v>0</v>
      </c>
      <c r="O400" s="43">
        <v>1.65</v>
      </c>
      <c r="P400" s="280"/>
      <c r="Q400" s="63"/>
      <c r="S400" s="43"/>
      <c r="T400" s="43"/>
      <c r="U400" s="43"/>
      <c r="V400" s="43"/>
      <c r="W400" s="43"/>
      <c r="X400" s="43"/>
      <c r="Y400" s="43"/>
      <c r="Z400" s="43"/>
      <c r="AA400" s="43"/>
      <c r="AB400" s="43"/>
      <c r="AC400" s="43"/>
      <c r="AD400" s="43"/>
      <c r="AE400" s="84"/>
      <c r="AF400" s="51"/>
      <c r="AH400" s="85"/>
      <c r="AI400" s="275"/>
      <c r="AJ400" s="193"/>
      <c r="AK400" s="274"/>
      <c r="AL400" s="206"/>
      <c r="AM400" s="84"/>
      <c r="AN400" s="51"/>
      <c r="AP400" s="85"/>
      <c r="AQ400" s="275"/>
      <c r="AR400" s="193"/>
      <c r="AS400" s="274"/>
      <c r="AT400" s="206"/>
      <c r="AU400" s="84"/>
      <c r="AV400" s="51"/>
      <c r="AX400" s="85"/>
      <c r="AY400" s="275"/>
      <c r="AZ400" s="193"/>
      <c r="BA400" s="274"/>
      <c r="BB400" s="206"/>
      <c r="BC400" s="84"/>
      <c r="BD400" s="51"/>
      <c r="BF400" s="85"/>
      <c r="BG400" s="275"/>
      <c r="BH400" s="193"/>
      <c r="BI400" s="274"/>
      <c r="BJ400" s="206"/>
      <c r="BK400" s="84"/>
      <c r="BL400" s="51"/>
      <c r="BN400" s="85"/>
      <c r="BO400" s="275"/>
      <c r="BP400" s="193"/>
      <c r="BQ400" s="274"/>
      <c r="BR400" s="206"/>
      <c r="BS400" s="84"/>
      <c r="BT400" s="51"/>
      <c r="BV400" s="85"/>
      <c r="BW400" s="275"/>
      <c r="BX400" s="193"/>
      <c r="BY400" s="274"/>
      <c r="BZ400" s="206"/>
      <c r="CA400" s="84"/>
      <c r="CB400" s="51"/>
      <c r="CD400" s="85"/>
      <c r="CE400" s="275"/>
      <c r="CF400" s="193"/>
      <c r="CG400" s="274"/>
      <c r="CH400" s="206"/>
      <c r="CI400" s="84"/>
      <c r="CJ400" s="51"/>
      <c r="CL400" s="85"/>
      <c r="CM400" s="275"/>
      <c r="CN400" s="193"/>
      <c r="CO400" s="274"/>
      <c r="CP400" s="206"/>
      <c r="CQ400" s="84"/>
      <c r="CR400" s="51"/>
      <c r="CT400" s="85"/>
      <c r="CU400" s="275"/>
      <c r="CV400" s="193"/>
      <c r="CW400" s="274"/>
      <c r="CX400" s="206"/>
      <c r="CY400" s="84"/>
      <c r="CZ400" s="51"/>
      <c r="DB400" s="85"/>
      <c r="DC400" s="275"/>
      <c r="DD400" s="193"/>
      <c r="DE400" s="274"/>
      <c r="DF400" s="206"/>
      <c r="DG400" s="84"/>
      <c r="DH400" s="51"/>
      <c r="DJ400" s="85"/>
      <c r="DK400" s="275"/>
      <c r="DL400" s="193"/>
      <c r="DM400" s="274"/>
      <c r="DN400" s="206"/>
      <c r="DO400" s="84"/>
      <c r="DP400" s="51"/>
      <c r="DR400" s="85"/>
      <c r="DS400" s="275"/>
      <c r="DT400" s="193"/>
      <c r="DU400" s="274"/>
      <c r="DV400" s="206"/>
      <c r="DW400" s="84"/>
      <c r="DX400" s="51"/>
      <c r="DZ400" s="85"/>
      <c r="EA400" s="275"/>
      <c r="EB400" s="193"/>
      <c r="EC400" s="274"/>
      <c r="ED400" s="206"/>
      <c r="EE400" s="84"/>
      <c r="EF400" s="51"/>
      <c r="EH400" s="85"/>
      <c r="EI400" s="275"/>
      <c r="EJ400" s="193"/>
      <c r="EK400" s="274"/>
      <c r="EL400" s="206"/>
      <c r="EM400" s="84"/>
      <c r="EN400" s="51"/>
      <c r="EP400" s="85"/>
      <c r="EQ400" s="275"/>
      <c r="ER400" s="193"/>
      <c r="ES400" s="274"/>
      <c r="ET400" s="206"/>
      <c r="EU400" s="84"/>
      <c r="EV400" s="51"/>
      <c r="EX400" s="85"/>
      <c r="EY400" s="275"/>
      <c r="EZ400" s="193"/>
      <c r="FA400" s="274"/>
      <c r="FB400" s="206"/>
      <c r="FC400" s="84"/>
      <c r="FD400" s="51"/>
      <c r="FF400" s="85"/>
      <c r="FG400" s="275"/>
      <c r="FH400" s="193"/>
      <c r="FI400" s="274"/>
      <c r="FJ400" s="206"/>
      <c r="FK400" s="84"/>
      <c r="FL400" s="51"/>
      <c r="FN400" s="85"/>
      <c r="FO400" s="275"/>
      <c r="FP400" s="193"/>
      <c r="FQ400" s="274"/>
      <c r="FR400" s="206"/>
      <c r="FS400" s="84"/>
      <c r="FT400" s="51"/>
      <c r="FV400" s="85"/>
      <c r="FW400" s="275"/>
      <c r="FX400" s="193"/>
      <c r="FY400" s="274"/>
      <c r="FZ400" s="206"/>
      <c r="GA400" s="84"/>
      <c r="GB400" s="51"/>
      <c r="GD400" s="85"/>
      <c r="GE400" s="275"/>
      <c r="GF400" s="193"/>
      <c r="GG400" s="274"/>
      <c r="GH400" s="206"/>
      <c r="GI400" s="84"/>
      <c r="GJ400" s="51"/>
      <c r="GL400" s="85"/>
      <c r="GM400" s="275"/>
      <c r="GN400" s="193"/>
      <c r="GO400" s="274"/>
      <c r="GP400" s="206"/>
      <c r="GQ400" s="84"/>
      <c r="GR400" s="51"/>
      <c r="GT400" s="85"/>
      <c r="GU400" s="275"/>
      <c r="GV400" s="193"/>
      <c r="GW400" s="274"/>
      <c r="GX400" s="206"/>
      <c r="GY400" s="84"/>
      <c r="GZ400" s="51"/>
      <c r="HB400" s="85"/>
      <c r="HC400" s="275"/>
      <c r="HD400" s="193"/>
      <c r="HE400" s="274"/>
      <c r="HF400" s="206"/>
      <c r="HG400" s="84"/>
      <c r="HH400" s="51"/>
      <c r="HJ400" s="85"/>
      <c r="HK400" s="275"/>
      <c r="HL400" s="193"/>
      <c r="HM400" s="274"/>
      <c r="HN400" s="206"/>
      <c r="HO400" s="84"/>
      <c r="HP400" s="51"/>
      <c r="HR400" s="85"/>
      <c r="HS400" s="275"/>
      <c r="HT400" s="193"/>
      <c r="HU400" s="274"/>
      <c r="HV400" s="206"/>
      <c r="HW400" s="84"/>
      <c r="HX400" s="51"/>
      <c r="HZ400" s="85"/>
      <c r="IA400" s="275"/>
      <c r="IB400" s="193"/>
      <c r="IC400" s="274"/>
      <c r="ID400" s="206"/>
      <c r="IE400" s="84"/>
      <c r="IF400" s="51"/>
      <c r="IH400" s="85"/>
      <c r="II400" s="275"/>
      <c r="IJ400" s="193"/>
      <c r="IK400" s="274"/>
      <c r="IL400" s="206"/>
      <c r="IM400" s="84"/>
      <c r="IN400" s="51"/>
      <c r="IP400" s="85"/>
      <c r="IQ400" s="275"/>
      <c r="IR400" s="193"/>
      <c r="IS400" s="274"/>
      <c r="IT400" s="206"/>
      <c r="IU400" s="84"/>
      <c r="IV400" s="51"/>
    </row>
    <row r="401" spans="1:256" ht="15.75" hidden="1" customHeight="1">
      <c r="A401" s="69"/>
      <c r="B401" s="52">
        <v>11</v>
      </c>
      <c r="C401" s="231" t="s">
        <v>734</v>
      </c>
      <c r="D401" s="72" t="s">
        <v>270</v>
      </c>
      <c r="E401" s="279"/>
      <c r="F401" s="72"/>
      <c r="G401" s="244" t="str">
        <f t="shared" si="65"/>
        <v/>
      </c>
      <c r="I401" s="43"/>
      <c r="J401" s="73"/>
      <c r="K401" s="63"/>
      <c r="L401" s="63"/>
      <c r="M401" s="223">
        <f t="shared" si="64"/>
        <v>0</v>
      </c>
      <c r="N401" s="223">
        <f t="shared" si="66"/>
        <v>0</v>
      </c>
      <c r="O401" s="43">
        <v>1.65</v>
      </c>
      <c r="P401" s="280"/>
      <c r="Q401" s="63"/>
      <c r="S401" s="43"/>
      <c r="T401" s="43"/>
      <c r="U401" s="43"/>
      <c r="V401" s="43"/>
      <c r="W401" s="43"/>
      <c r="X401" s="43"/>
      <c r="Y401" s="43"/>
      <c r="Z401" s="43"/>
      <c r="AA401" s="43"/>
      <c r="AB401" s="43"/>
      <c r="AC401" s="43"/>
      <c r="AD401" s="43"/>
      <c r="AE401" s="84"/>
      <c r="AF401" s="51"/>
      <c r="AH401" s="85"/>
      <c r="AI401" s="275"/>
      <c r="AJ401" s="193"/>
      <c r="AK401" s="274"/>
      <c r="AL401" s="206"/>
      <c r="AM401" s="84"/>
      <c r="AN401" s="51"/>
      <c r="AP401" s="85"/>
      <c r="AQ401" s="275"/>
      <c r="AR401" s="193"/>
      <c r="AS401" s="274"/>
      <c r="AT401" s="206"/>
      <c r="AU401" s="84"/>
      <c r="AV401" s="51"/>
      <c r="AX401" s="85"/>
      <c r="AY401" s="275"/>
      <c r="AZ401" s="193"/>
      <c r="BA401" s="274"/>
      <c r="BB401" s="206"/>
      <c r="BC401" s="84"/>
      <c r="BD401" s="51"/>
      <c r="BF401" s="85"/>
      <c r="BG401" s="275"/>
      <c r="BH401" s="193"/>
      <c r="BI401" s="274"/>
      <c r="BJ401" s="206"/>
      <c r="BK401" s="84"/>
      <c r="BL401" s="51"/>
      <c r="BN401" s="85"/>
      <c r="BO401" s="275"/>
      <c r="BP401" s="193"/>
      <c r="BQ401" s="274"/>
      <c r="BR401" s="206"/>
      <c r="BS401" s="84"/>
      <c r="BT401" s="51"/>
      <c r="BV401" s="85"/>
      <c r="BW401" s="275"/>
      <c r="BX401" s="193"/>
      <c r="BY401" s="274"/>
      <c r="BZ401" s="206"/>
      <c r="CA401" s="84"/>
      <c r="CB401" s="51"/>
      <c r="CD401" s="85"/>
      <c r="CE401" s="275"/>
      <c r="CF401" s="193"/>
      <c r="CG401" s="274"/>
      <c r="CH401" s="206"/>
      <c r="CI401" s="84"/>
      <c r="CJ401" s="51"/>
      <c r="CL401" s="85"/>
      <c r="CM401" s="275"/>
      <c r="CN401" s="193"/>
      <c r="CO401" s="274"/>
      <c r="CP401" s="206"/>
      <c r="CQ401" s="84"/>
      <c r="CR401" s="51"/>
      <c r="CT401" s="85"/>
      <c r="CU401" s="275"/>
      <c r="CV401" s="193"/>
      <c r="CW401" s="274"/>
      <c r="CX401" s="206"/>
      <c r="CY401" s="84"/>
      <c r="CZ401" s="51"/>
      <c r="DB401" s="85"/>
      <c r="DC401" s="275"/>
      <c r="DD401" s="193"/>
      <c r="DE401" s="274"/>
      <c r="DF401" s="206"/>
      <c r="DG401" s="84"/>
      <c r="DH401" s="51"/>
      <c r="DJ401" s="85"/>
      <c r="DK401" s="275"/>
      <c r="DL401" s="193"/>
      <c r="DM401" s="274"/>
      <c r="DN401" s="206"/>
      <c r="DO401" s="84"/>
      <c r="DP401" s="51"/>
      <c r="DR401" s="85"/>
      <c r="DS401" s="275"/>
      <c r="DT401" s="193"/>
      <c r="DU401" s="274"/>
      <c r="DV401" s="206"/>
      <c r="DW401" s="84"/>
      <c r="DX401" s="51"/>
      <c r="DZ401" s="85"/>
      <c r="EA401" s="275"/>
      <c r="EB401" s="193"/>
      <c r="EC401" s="274"/>
      <c r="ED401" s="206"/>
      <c r="EE401" s="84"/>
      <c r="EF401" s="51"/>
      <c r="EH401" s="85"/>
      <c r="EI401" s="275"/>
      <c r="EJ401" s="193"/>
      <c r="EK401" s="274"/>
      <c r="EL401" s="206"/>
      <c r="EM401" s="84"/>
      <c r="EN401" s="51"/>
      <c r="EP401" s="85"/>
      <c r="EQ401" s="275"/>
      <c r="ER401" s="193"/>
      <c r="ES401" s="274"/>
      <c r="ET401" s="206"/>
      <c r="EU401" s="84"/>
      <c r="EV401" s="51"/>
      <c r="EX401" s="85"/>
      <c r="EY401" s="275"/>
      <c r="EZ401" s="193"/>
      <c r="FA401" s="274"/>
      <c r="FB401" s="206"/>
      <c r="FC401" s="84"/>
      <c r="FD401" s="51"/>
      <c r="FF401" s="85"/>
      <c r="FG401" s="275"/>
      <c r="FH401" s="193"/>
      <c r="FI401" s="274"/>
      <c r="FJ401" s="206"/>
      <c r="FK401" s="84"/>
      <c r="FL401" s="51"/>
      <c r="FN401" s="85"/>
      <c r="FO401" s="275"/>
      <c r="FP401" s="193"/>
      <c r="FQ401" s="274"/>
      <c r="FR401" s="206"/>
      <c r="FS401" s="84"/>
      <c r="FT401" s="51"/>
      <c r="FV401" s="85"/>
      <c r="FW401" s="275"/>
      <c r="FX401" s="193"/>
      <c r="FY401" s="274"/>
      <c r="FZ401" s="206"/>
      <c r="GA401" s="84"/>
      <c r="GB401" s="51"/>
      <c r="GD401" s="85"/>
      <c r="GE401" s="275"/>
      <c r="GF401" s="193"/>
      <c r="GG401" s="274"/>
      <c r="GH401" s="206"/>
      <c r="GI401" s="84"/>
      <c r="GJ401" s="51"/>
      <c r="GL401" s="85"/>
      <c r="GM401" s="275"/>
      <c r="GN401" s="193"/>
      <c r="GO401" s="274"/>
      <c r="GP401" s="206"/>
      <c r="GQ401" s="84"/>
      <c r="GR401" s="51"/>
      <c r="GT401" s="85"/>
      <c r="GU401" s="275"/>
      <c r="GV401" s="193"/>
      <c r="GW401" s="274"/>
      <c r="GX401" s="206"/>
      <c r="GY401" s="84"/>
      <c r="GZ401" s="51"/>
      <c r="HB401" s="85"/>
      <c r="HC401" s="275"/>
      <c r="HD401" s="193"/>
      <c r="HE401" s="274"/>
      <c r="HF401" s="206"/>
      <c r="HG401" s="84"/>
      <c r="HH401" s="51"/>
      <c r="HJ401" s="85"/>
      <c r="HK401" s="275"/>
      <c r="HL401" s="193"/>
      <c r="HM401" s="274"/>
      <c r="HN401" s="206"/>
      <c r="HO401" s="84"/>
      <c r="HP401" s="51"/>
      <c r="HR401" s="85"/>
      <c r="HS401" s="275"/>
      <c r="HT401" s="193"/>
      <c r="HU401" s="274"/>
      <c r="HV401" s="206"/>
      <c r="HW401" s="84"/>
      <c r="HX401" s="51"/>
      <c r="HZ401" s="85"/>
      <c r="IA401" s="275"/>
      <c r="IB401" s="193"/>
      <c r="IC401" s="274"/>
      <c r="ID401" s="206"/>
      <c r="IE401" s="84"/>
      <c r="IF401" s="51"/>
      <c r="IH401" s="85"/>
      <c r="II401" s="275"/>
      <c r="IJ401" s="193"/>
      <c r="IK401" s="274"/>
      <c r="IL401" s="206"/>
      <c r="IM401" s="84"/>
      <c r="IN401" s="51"/>
      <c r="IP401" s="85"/>
      <c r="IQ401" s="275"/>
      <c r="IR401" s="193"/>
      <c r="IS401" s="274"/>
      <c r="IT401" s="206"/>
      <c r="IU401" s="84"/>
      <c r="IV401" s="51"/>
    </row>
    <row r="402" spans="1:256" ht="15.75" hidden="1" customHeight="1">
      <c r="A402" s="69"/>
      <c r="B402" s="52">
        <v>11</v>
      </c>
      <c r="C402" s="231" t="s">
        <v>735</v>
      </c>
      <c r="D402" s="72" t="s">
        <v>270</v>
      </c>
      <c r="E402" s="279"/>
      <c r="F402" s="72"/>
      <c r="G402" s="244" t="str">
        <f t="shared" si="65"/>
        <v/>
      </c>
      <c r="I402" s="43"/>
      <c r="J402" s="73"/>
      <c r="K402" s="63"/>
      <c r="L402" s="63"/>
      <c r="M402" s="223">
        <f t="shared" si="64"/>
        <v>1532.4854651162789</v>
      </c>
      <c r="N402" s="223">
        <f t="shared" si="66"/>
        <v>766.24273255813944</v>
      </c>
      <c r="O402" s="43">
        <v>1.65</v>
      </c>
      <c r="P402" s="280">
        <f>710/0.86*0.9/1.6</f>
        <v>464.3895348837209</v>
      </c>
      <c r="Q402" s="63"/>
      <c r="S402" s="43"/>
      <c r="T402" s="43"/>
      <c r="U402" s="43"/>
      <c r="V402" s="43"/>
      <c r="W402" s="43"/>
      <c r="X402" s="43"/>
      <c r="Y402" s="43"/>
      <c r="Z402" s="43"/>
      <c r="AA402" s="43"/>
      <c r="AB402" s="43"/>
      <c r="AC402" s="43"/>
      <c r="AD402" s="43"/>
      <c r="AE402" s="84"/>
      <c r="AF402" s="51"/>
      <c r="AH402" s="85"/>
      <c r="AI402" s="275"/>
      <c r="AJ402" s="193"/>
      <c r="AK402" s="274"/>
      <c r="AL402" s="206"/>
      <c r="AM402" s="84"/>
      <c r="AN402" s="51"/>
      <c r="AP402" s="85"/>
      <c r="AQ402" s="275"/>
      <c r="AR402" s="193"/>
      <c r="AS402" s="274"/>
      <c r="AT402" s="206"/>
      <c r="AU402" s="84"/>
      <c r="AV402" s="51"/>
      <c r="AX402" s="85"/>
      <c r="AY402" s="275"/>
      <c r="AZ402" s="193"/>
      <c r="BA402" s="274"/>
      <c r="BB402" s="206"/>
      <c r="BC402" s="84"/>
      <c r="BD402" s="51"/>
      <c r="BF402" s="85"/>
      <c r="BG402" s="275"/>
      <c r="BH402" s="193"/>
      <c r="BI402" s="274"/>
      <c r="BJ402" s="206"/>
      <c r="BK402" s="84"/>
      <c r="BL402" s="51"/>
      <c r="BN402" s="85"/>
      <c r="BO402" s="275"/>
      <c r="BP402" s="193"/>
      <c r="BQ402" s="274"/>
      <c r="BR402" s="206"/>
      <c r="BS402" s="84"/>
      <c r="BT402" s="51"/>
      <c r="BV402" s="85"/>
      <c r="BW402" s="275"/>
      <c r="BX402" s="193"/>
      <c r="BY402" s="274"/>
      <c r="BZ402" s="206"/>
      <c r="CA402" s="84"/>
      <c r="CB402" s="51"/>
      <c r="CD402" s="85"/>
      <c r="CE402" s="275"/>
      <c r="CF402" s="193"/>
      <c r="CG402" s="274"/>
      <c r="CH402" s="206"/>
      <c r="CI402" s="84"/>
      <c r="CJ402" s="51"/>
      <c r="CL402" s="85"/>
      <c r="CM402" s="275"/>
      <c r="CN402" s="193"/>
      <c r="CO402" s="274"/>
      <c r="CP402" s="206"/>
      <c r="CQ402" s="84"/>
      <c r="CR402" s="51"/>
      <c r="CT402" s="85"/>
      <c r="CU402" s="275"/>
      <c r="CV402" s="193"/>
      <c r="CW402" s="274"/>
      <c r="CX402" s="206"/>
      <c r="CY402" s="84"/>
      <c r="CZ402" s="51"/>
      <c r="DB402" s="85"/>
      <c r="DC402" s="275"/>
      <c r="DD402" s="193"/>
      <c r="DE402" s="274"/>
      <c r="DF402" s="206"/>
      <c r="DG402" s="84"/>
      <c r="DH402" s="51"/>
      <c r="DJ402" s="85"/>
      <c r="DK402" s="275"/>
      <c r="DL402" s="193"/>
      <c r="DM402" s="274"/>
      <c r="DN402" s="206"/>
      <c r="DO402" s="84"/>
      <c r="DP402" s="51"/>
      <c r="DR402" s="85"/>
      <c r="DS402" s="275"/>
      <c r="DT402" s="193"/>
      <c r="DU402" s="274"/>
      <c r="DV402" s="206"/>
      <c r="DW402" s="84"/>
      <c r="DX402" s="51"/>
      <c r="DZ402" s="85"/>
      <c r="EA402" s="275"/>
      <c r="EB402" s="193"/>
      <c r="EC402" s="274"/>
      <c r="ED402" s="206"/>
      <c r="EE402" s="84"/>
      <c r="EF402" s="51"/>
      <c r="EH402" s="85"/>
      <c r="EI402" s="275"/>
      <c r="EJ402" s="193"/>
      <c r="EK402" s="274"/>
      <c r="EL402" s="206"/>
      <c r="EM402" s="84"/>
      <c r="EN402" s="51"/>
      <c r="EP402" s="85"/>
      <c r="EQ402" s="275"/>
      <c r="ER402" s="193"/>
      <c r="ES402" s="274"/>
      <c r="ET402" s="206"/>
      <c r="EU402" s="84"/>
      <c r="EV402" s="51"/>
      <c r="EX402" s="85"/>
      <c r="EY402" s="275"/>
      <c r="EZ402" s="193"/>
      <c r="FA402" s="274"/>
      <c r="FB402" s="206"/>
      <c r="FC402" s="84"/>
      <c r="FD402" s="51"/>
      <c r="FF402" s="85"/>
      <c r="FG402" s="275"/>
      <c r="FH402" s="193"/>
      <c r="FI402" s="274"/>
      <c r="FJ402" s="206"/>
      <c r="FK402" s="84"/>
      <c r="FL402" s="51"/>
      <c r="FN402" s="85"/>
      <c r="FO402" s="275"/>
      <c r="FP402" s="193"/>
      <c r="FQ402" s="274"/>
      <c r="FR402" s="206"/>
      <c r="FS402" s="84"/>
      <c r="FT402" s="51"/>
      <c r="FV402" s="85"/>
      <c r="FW402" s="275"/>
      <c r="FX402" s="193"/>
      <c r="FY402" s="274"/>
      <c r="FZ402" s="206"/>
      <c r="GA402" s="84"/>
      <c r="GB402" s="51"/>
      <c r="GD402" s="85"/>
      <c r="GE402" s="275"/>
      <c r="GF402" s="193"/>
      <c r="GG402" s="274"/>
      <c r="GH402" s="206"/>
      <c r="GI402" s="84"/>
      <c r="GJ402" s="51"/>
      <c r="GL402" s="85"/>
      <c r="GM402" s="275"/>
      <c r="GN402" s="193"/>
      <c r="GO402" s="274"/>
      <c r="GP402" s="206"/>
      <c r="GQ402" s="84"/>
      <c r="GR402" s="51"/>
      <c r="GT402" s="85"/>
      <c r="GU402" s="275"/>
      <c r="GV402" s="193"/>
      <c r="GW402" s="274"/>
      <c r="GX402" s="206"/>
      <c r="GY402" s="84"/>
      <c r="GZ402" s="51"/>
      <c r="HB402" s="85"/>
      <c r="HC402" s="275"/>
      <c r="HD402" s="193"/>
      <c r="HE402" s="274"/>
      <c r="HF402" s="206"/>
      <c r="HG402" s="84"/>
      <c r="HH402" s="51"/>
      <c r="HJ402" s="85"/>
      <c r="HK402" s="275"/>
      <c r="HL402" s="193"/>
      <c r="HM402" s="274"/>
      <c r="HN402" s="206"/>
      <c r="HO402" s="84"/>
      <c r="HP402" s="51"/>
      <c r="HR402" s="85"/>
      <c r="HS402" s="275"/>
      <c r="HT402" s="193"/>
      <c r="HU402" s="274"/>
      <c r="HV402" s="206"/>
      <c r="HW402" s="84"/>
      <c r="HX402" s="51"/>
      <c r="HZ402" s="85"/>
      <c r="IA402" s="275"/>
      <c r="IB402" s="193"/>
      <c r="IC402" s="274"/>
      <c r="ID402" s="206"/>
      <c r="IE402" s="84"/>
      <c r="IF402" s="51"/>
      <c r="IH402" s="85"/>
      <c r="II402" s="275"/>
      <c r="IJ402" s="193"/>
      <c r="IK402" s="274"/>
      <c r="IL402" s="206"/>
      <c r="IM402" s="84"/>
      <c r="IN402" s="51"/>
      <c r="IP402" s="85"/>
      <c r="IQ402" s="275"/>
      <c r="IR402" s="193"/>
      <c r="IS402" s="274"/>
      <c r="IT402" s="206"/>
      <c r="IU402" s="84"/>
      <c r="IV402" s="51"/>
    </row>
    <row r="403" spans="1:256" ht="15.75" hidden="1">
      <c r="A403" s="69"/>
      <c r="B403" s="52">
        <v>11</v>
      </c>
      <c r="C403" s="231" t="s">
        <v>736</v>
      </c>
      <c r="D403" s="72" t="s">
        <v>270</v>
      </c>
      <c r="E403" s="279"/>
      <c r="F403" s="72"/>
      <c r="G403" s="244" t="str">
        <f t="shared" si="65"/>
        <v/>
      </c>
      <c r="I403" s="43"/>
      <c r="J403" s="73"/>
      <c r="K403" s="63"/>
      <c r="L403" s="63"/>
      <c r="M403" s="223">
        <f t="shared" si="64"/>
        <v>2136.8459302325577</v>
      </c>
      <c r="N403" s="223">
        <f t="shared" si="66"/>
        <v>1068.4229651162789</v>
      </c>
      <c r="O403" s="43">
        <v>1.65</v>
      </c>
      <c r="P403" s="280">
        <f>990/0.86*0.9/1.6</f>
        <v>647.5290697674418</v>
      </c>
      <c r="Q403" s="63"/>
      <c r="S403" s="43"/>
      <c r="T403" s="43"/>
      <c r="U403" s="43"/>
      <c r="V403" s="43"/>
      <c r="W403" s="43"/>
      <c r="X403" s="43"/>
      <c r="Y403" s="43"/>
      <c r="Z403" s="43"/>
      <c r="AA403" s="43"/>
      <c r="AB403" s="43"/>
      <c r="AC403" s="43"/>
      <c r="AD403" s="43"/>
      <c r="AE403" s="84"/>
      <c r="AF403" s="51"/>
      <c r="AH403" s="85"/>
      <c r="AI403" s="275"/>
    </row>
    <row r="404" spans="1:256" ht="15.75" hidden="1">
      <c r="A404" s="69"/>
      <c r="B404" s="52">
        <v>11</v>
      </c>
      <c r="C404" s="231" t="s">
        <v>737</v>
      </c>
      <c r="D404" s="72" t="s">
        <v>270</v>
      </c>
      <c r="E404" s="279"/>
      <c r="F404" s="72"/>
      <c r="G404" s="244" t="str">
        <f t="shared" si="65"/>
        <v/>
      </c>
      <c r="I404" s="43"/>
      <c r="J404" s="73"/>
      <c r="K404" s="63"/>
      <c r="L404" s="63"/>
      <c r="M404" s="223">
        <f t="shared" si="64"/>
        <v>3246.2790697674413</v>
      </c>
      <c r="N404" s="223">
        <f t="shared" si="66"/>
        <v>1623.1395348837207</v>
      </c>
      <c r="O404" s="43">
        <v>1.65</v>
      </c>
      <c r="P404" s="280">
        <f>1504/0.86*0.9/1.6</f>
        <v>983.72093023255809</v>
      </c>
      <c r="Q404" s="63"/>
      <c r="S404" s="43"/>
      <c r="T404" s="43"/>
      <c r="U404" s="43"/>
      <c r="V404" s="43"/>
      <c r="W404" s="43"/>
      <c r="X404" s="43"/>
      <c r="Y404" s="43"/>
      <c r="Z404" s="43"/>
      <c r="AA404" s="43"/>
      <c r="AB404" s="43"/>
      <c r="AC404" s="43"/>
      <c r="AD404" s="43"/>
      <c r="AE404" s="84"/>
      <c r="AF404" s="51"/>
      <c r="AH404" s="85"/>
      <c r="AI404" s="275"/>
    </row>
    <row r="405" spans="1:256" ht="15.75" hidden="1">
      <c r="A405" s="69"/>
      <c r="B405" s="52">
        <v>11</v>
      </c>
      <c r="C405" s="231" t="s">
        <v>738</v>
      </c>
      <c r="D405" s="72" t="s">
        <v>270</v>
      </c>
      <c r="E405" s="279"/>
      <c r="F405" s="72"/>
      <c r="G405" s="244" t="str">
        <f t="shared" si="65"/>
        <v/>
      </c>
      <c r="I405" s="43"/>
      <c r="J405" s="73"/>
      <c r="K405" s="63"/>
      <c r="L405" s="63"/>
      <c r="M405" s="223">
        <f t="shared" si="64"/>
        <v>4927.6962209302319</v>
      </c>
      <c r="N405" s="223">
        <f t="shared" si="66"/>
        <v>2463.848110465116</v>
      </c>
      <c r="O405" s="43">
        <v>1.65</v>
      </c>
      <c r="P405" s="280">
        <f>2283/0.86*0.9/1.6</f>
        <v>1493.2412790697674</v>
      </c>
      <c r="Q405" s="63"/>
      <c r="S405" s="43"/>
      <c r="T405" s="43"/>
      <c r="U405" s="43"/>
      <c r="V405" s="43"/>
      <c r="W405" s="43"/>
      <c r="X405" s="43"/>
      <c r="Y405" s="43"/>
      <c r="Z405" s="43"/>
      <c r="AA405" s="43"/>
      <c r="AB405" s="43"/>
      <c r="AC405" s="43"/>
      <c r="AD405" s="43"/>
      <c r="AE405" s="84"/>
      <c r="AF405" s="51"/>
      <c r="AH405" s="85"/>
      <c r="AI405" s="275"/>
    </row>
    <row r="406" spans="1:256" ht="15.75" hidden="1">
      <c r="A406" s="69"/>
      <c r="B406" s="52">
        <v>11</v>
      </c>
      <c r="C406" s="231" t="s">
        <v>739</v>
      </c>
      <c r="D406" s="72" t="s">
        <v>270</v>
      </c>
      <c r="E406" s="279"/>
      <c r="F406" s="72"/>
      <c r="G406" s="244" t="str">
        <f t="shared" si="65"/>
        <v/>
      </c>
      <c r="I406" s="43"/>
      <c r="J406" s="73"/>
      <c r="K406" s="63"/>
      <c r="L406" s="63"/>
      <c r="M406" s="223">
        <f t="shared" si="64"/>
        <v>369.39374999999995</v>
      </c>
      <c r="N406" s="223">
        <f t="shared" si="66"/>
        <v>184.69687499999998</v>
      </c>
      <c r="O406" s="43">
        <v>1.65</v>
      </c>
      <c r="P406" s="280">
        <f>199*0.9/1.6</f>
        <v>111.93749999999999</v>
      </c>
      <c r="Q406" s="63"/>
      <c r="S406" s="43"/>
      <c r="T406" s="43"/>
      <c r="U406" s="43"/>
      <c r="V406" s="43"/>
      <c r="W406" s="43"/>
      <c r="X406" s="43"/>
      <c r="Y406" s="43"/>
      <c r="Z406" s="43"/>
      <c r="AA406" s="43"/>
      <c r="AB406" s="43"/>
      <c r="AC406" s="43"/>
      <c r="AD406" s="43"/>
      <c r="AE406" s="84"/>
      <c r="AF406" s="51"/>
      <c r="AH406" s="85"/>
      <c r="AI406" s="275"/>
    </row>
    <row r="407" spans="1:256" ht="15.75" hidden="1">
      <c r="A407" s="69"/>
      <c r="B407" s="52">
        <v>11</v>
      </c>
      <c r="C407" s="231" t="s">
        <v>740</v>
      </c>
      <c r="D407" s="72" t="s">
        <v>270</v>
      </c>
      <c r="E407" s="279"/>
      <c r="F407" s="72"/>
      <c r="G407" s="244" t="str">
        <f t="shared" si="65"/>
        <v/>
      </c>
      <c r="I407" s="43"/>
      <c r="J407" s="73"/>
      <c r="K407" s="63"/>
      <c r="L407" s="63"/>
      <c r="M407" s="223">
        <f t="shared" si="64"/>
        <v>0</v>
      </c>
      <c r="N407" s="223">
        <f t="shared" si="66"/>
        <v>0</v>
      </c>
      <c r="O407" s="43">
        <v>1.65</v>
      </c>
      <c r="P407" s="280"/>
      <c r="Q407" s="63"/>
      <c r="S407" s="43"/>
      <c r="T407" s="43"/>
      <c r="U407" s="43"/>
      <c r="V407" s="43"/>
      <c r="W407" s="43"/>
      <c r="X407" s="43"/>
      <c r="Y407" s="43"/>
      <c r="Z407" s="43"/>
      <c r="AA407" s="43"/>
      <c r="AB407" s="43"/>
      <c r="AC407" s="43"/>
      <c r="AD407" s="43"/>
    </row>
    <row r="408" spans="1:256" ht="15.75" hidden="1">
      <c r="A408" s="69"/>
      <c r="B408" s="52">
        <v>11</v>
      </c>
      <c r="C408" s="231" t="s">
        <v>740</v>
      </c>
      <c r="D408" s="72" t="s">
        <v>270</v>
      </c>
      <c r="E408" s="279"/>
      <c r="F408" s="72"/>
      <c r="G408" s="244" t="str">
        <f t="shared" si="65"/>
        <v/>
      </c>
      <c r="I408" s="43"/>
      <c r="J408" s="73"/>
      <c r="K408" s="63"/>
      <c r="L408" s="63"/>
      <c r="M408" s="223">
        <f t="shared" si="64"/>
        <v>0</v>
      </c>
      <c r="N408" s="223">
        <f t="shared" si="66"/>
        <v>0</v>
      </c>
      <c r="O408" s="43">
        <v>1.65</v>
      </c>
      <c r="P408" s="280"/>
      <c r="Q408" s="63"/>
      <c r="S408" s="43"/>
      <c r="T408" s="43"/>
      <c r="U408" s="43"/>
      <c r="V408" s="43"/>
      <c r="W408" s="43"/>
      <c r="X408" s="43"/>
      <c r="Y408" s="43"/>
      <c r="Z408" s="43"/>
      <c r="AA408" s="43"/>
      <c r="AB408" s="43"/>
      <c r="AC408" s="43"/>
      <c r="AD408" s="43"/>
    </row>
    <row r="409" spans="1:256" s="43" customFormat="1" ht="15.75" hidden="1">
      <c r="A409" s="69"/>
      <c r="B409" s="52">
        <v>11</v>
      </c>
      <c r="C409" s="231" t="s">
        <v>740</v>
      </c>
      <c r="D409" s="72" t="s">
        <v>270</v>
      </c>
      <c r="E409" s="279"/>
      <c r="F409" s="72"/>
      <c r="G409" s="244" t="str">
        <f t="shared" si="65"/>
        <v/>
      </c>
      <c r="J409" s="73"/>
      <c r="K409" s="63"/>
      <c r="L409" s="63"/>
      <c r="M409" s="223">
        <f t="shared" si="64"/>
        <v>0</v>
      </c>
      <c r="N409" s="223">
        <f t="shared" si="66"/>
        <v>0</v>
      </c>
      <c r="O409" s="43">
        <v>1.65</v>
      </c>
      <c r="P409" s="280"/>
      <c r="Q409" s="63"/>
      <c r="R409" s="30"/>
      <c r="AE409" s="30"/>
      <c r="AF409" s="30"/>
      <c r="AG409" s="30"/>
      <c r="AH409" s="30"/>
      <c r="AI409" s="30"/>
    </row>
    <row r="410" spans="1:256" s="43" customFormat="1" ht="15.75" hidden="1">
      <c r="A410" s="69"/>
      <c r="B410" s="52">
        <v>11</v>
      </c>
      <c r="C410" s="231" t="s">
        <v>740</v>
      </c>
      <c r="D410" s="72" t="s">
        <v>270</v>
      </c>
      <c r="E410" s="279"/>
      <c r="F410" s="72"/>
      <c r="G410" s="244" t="str">
        <f t="shared" si="65"/>
        <v/>
      </c>
      <c r="J410" s="73"/>
      <c r="K410" s="63"/>
      <c r="L410" s="63"/>
      <c r="M410" s="223">
        <f t="shared" si="64"/>
        <v>0</v>
      </c>
      <c r="N410" s="223">
        <f t="shared" si="66"/>
        <v>0</v>
      </c>
      <c r="O410" s="43">
        <v>1.65</v>
      </c>
      <c r="P410" s="280"/>
      <c r="Q410" s="63"/>
      <c r="R410" s="30"/>
      <c r="S410" s="43" t="s">
        <v>537</v>
      </c>
      <c r="AD410" s="43" t="s">
        <v>538</v>
      </c>
      <c r="AE410" s="30"/>
      <c r="AF410" s="281">
        <v>1.65</v>
      </c>
      <c r="AG410" s="30"/>
      <c r="AH410" s="30"/>
      <c r="AI410" s="30"/>
      <c r="AO410" s="43" t="s">
        <v>540</v>
      </c>
    </row>
    <row r="411" spans="1:256" s="43" customFormat="1" ht="16.5" hidden="1" thickBot="1">
      <c r="A411" s="64" t="str">
        <f>IF(AM7=0,"","-")</f>
        <v/>
      </c>
      <c r="B411" s="65" t="s">
        <v>149</v>
      </c>
      <c r="C411" s="218" t="s">
        <v>150</v>
      </c>
      <c r="D411" s="66"/>
      <c r="E411" s="67"/>
      <c r="F411" s="68">
        <f>SUM(E412:E435)</f>
        <v>0</v>
      </c>
      <c r="G411" s="63"/>
      <c r="H411" s="217"/>
      <c r="I411" s="30"/>
      <c r="J411" s="30"/>
      <c r="K411" s="63"/>
      <c r="L411" s="63"/>
      <c r="Q411" s="63"/>
      <c r="R411" s="30"/>
      <c r="S411" s="282">
        <v>1200</v>
      </c>
      <c r="T411" s="282">
        <v>1500</v>
      </c>
      <c r="U411" s="282">
        <v>2100</v>
      </c>
      <c r="V411" s="282">
        <v>2500</v>
      </c>
      <c r="W411" s="282">
        <v>3000</v>
      </c>
      <c r="X411" s="282">
        <v>3500</v>
      </c>
      <c r="Y411" s="282">
        <v>4000</v>
      </c>
      <c r="Z411" s="282">
        <v>4500</v>
      </c>
      <c r="AA411" s="282">
        <v>5000</v>
      </c>
      <c r="AD411" s="282">
        <v>1200</v>
      </c>
      <c r="AE411" s="282">
        <v>1500</v>
      </c>
      <c r="AF411" s="282">
        <v>2100</v>
      </c>
      <c r="AG411" s="282">
        <v>2500</v>
      </c>
      <c r="AH411" s="282">
        <v>3000</v>
      </c>
      <c r="AI411" s="282">
        <v>3500</v>
      </c>
      <c r="AJ411" s="282">
        <v>4000</v>
      </c>
      <c r="AK411" s="282">
        <v>4500</v>
      </c>
      <c r="AL411" s="282">
        <v>5000</v>
      </c>
      <c r="AO411" s="282">
        <v>1200</v>
      </c>
      <c r="AP411" s="282">
        <v>1500</v>
      </c>
      <c r="AQ411" s="282">
        <v>2100</v>
      </c>
      <c r="AR411" s="282">
        <v>2500</v>
      </c>
      <c r="AS411" s="282">
        <v>3000</v>
      </c>
      <c r="AT411" s="282">
        <v>3500</v>
      </c>
      <c r="AU411" s="282">
        <v>4000</v>
      </c>
      <c r="AV411" s="282">
        <v>4500</v>
      </c>
      <c r="AW411" s="282">
        <v>5000</v>
      </c>
    </row>
    <row r="412" spans="1:256" s="43" customFormat="1" hidden="1">
      <c r="A412" s="69"/>
      <c r="B412" s="52">
        <v>1</v>
      </c>
      <c r="C412" s="35" t="s">
        <v>741</v>
      </c>
      <c r="D412" s="52"/>
      <c r="E412" s="244" t="str">
        <f t="shared" ref="E412:E435" si="67">IF(ISBLANK(A412),"",(A412*M412*(1-$H$3)))</f>
        <v/>
      </c>
      <c r="F412" s="35" t="s">
        <v>742</v>
      </c>
      <c r="J412" s="73"/>
      <c r="K412" s="73"/>
      <c r="L412" s="73"/>
      <c r="M412" s="247" t="e">
        <f>HLOOKUP($E$4,$S$411:$AA$413,2,TRUE)</f>
        <v>#N/A</v>
      </c>
      <c r="N412" s="73" t="s">
        <v>743</v>
      </c>
      <c r="O412" s="73"/>
      <c r="P412" s="73"/>
      <c r="Q412" s="73"/>
      <c r="R412" s="73"/>
      <c r="S412" s="283">
        <f>AD412*2</f>
        <v>4970.625</v>
      </c>
      <c r="T412" s="283">
        <f t="shared" ref="T412:AA412" si="68">AE412*2</f>
        <v>5127.375</v>
      </c>
      <c r="U412" s="283">
        <f t="shared" si="68"/>
        <v>5360.4375</v>
      </c>
      <c r="V412" s="283">
        <f t="shared" si="68"/>
        <v>5603.8125</v>
      </c>
      <c r="W412" s="283">
        <f t="shared" si="68"/>
        <v>5847.1875</v>
      </c>
      <c r="X412" s="283">
        <f t="shared" si="68"/>
        <v>5970.9375</v>
      </c>
      <c r="Y412" s="283">
        <f t="shared" si="68"/>
        <v>6090.5625</v>
      </c>
      <c r="Z412" s="283">
        <f t="shared" si="68"/>
        <v>6907.3125</v>
      </c>
      <c r="AA412" s="283">
        <f t="shared" si="68"/>
        <v>7150.6875</v>
      </c>
      <c r="AD412" s="283">
        <f>AO412*$AF$410</f>
        <v>2485.3125</v>
      </c>
      <c r="AE412" s="283">
        <f t="shared" ref="AE412:AL412" si="69">AP412*$AF$410</f>
        <v>2563.6875</v>
      </c>
      <c r="AF412" s="283">
        <f t="shared" si="69"/>
        <v>2680.21875</v>
      </c>
      <c r="AG412" s="283">
        <f t="shared" si="69"/>
        <v>2801.90625</v>
      </c>
      <c r="AH412" s="283">
        <f t="shared" si="69"/>
        <v>2923.59375</v>
      </c>
      <c r="AI412" s="283">
        <f t="shared" si="69"/>
        <v>2985.46875</v>
      </c>
      <c r="AJ412" s="283">
        <f t="shared" si="69"/>
        <v>3045.28125</v>
      </c>
      <c r="AK412" s="283">
        <f t="shared" si="69"/>
        <v>3453.65625</v>
      </c>
      <c r="AL412" s="283">
        <f t="shared" si="69"/>
        <v>3575.34375</v>
      </c>
      <c r="AO412" s="283">
        <f>2410/1.6</f>
        <v>1506.25</v>
      </c>
      <c r="AP412" s="283">
        <f>2486/1.6</f>
        <v>1553.75</v>
      </c>
      <c r="AQ412" s="283">
        <f>2599/1.6</f>
        <v>1624.375</v>
      </c>
      <c r="AR412" s="283">
        <f>2717/1.6</f>
        <v>1698.125</v>
      </c>
      <c r="AS412" s="283">
        <f>2835/1.6</f>
        <v>1771.875</v>
      </c>
      <c r="AT412" s="283">
        <f>2895/1.6</f>
        <v>1809.375</v>
      </c>
      <c r="AU412" s="283">
        <f>2953/1.6</f>
        <v>1845.625</v>
      </c>
      <c r="AV412" s="283">
        <f>3349/1.6</f>
        <v>2093.125</v>
      </c>
      <c r="AW412" s="283">
        <f>3467/1.6</f>
        <v>2166.875</v>
      </c>
    </row>
    <row r="413" spans="1:256" s="43" customFormat="1" hidden="1">
      <c r="A413" s="69"/>
      <c r="B413" s="52">
        <v>1</v>
      </c>
      <c r="C413" s="35" t="s">
        <v>159</v>
      </c>
      <c r="D413" s="52"/>
      <c r="E413" s="244" t="str">
        <f t="shared" si="67"/>
        <v/>
      </c>
      <c r="F413" s="35" t="s">
        <v>742</v>
      </c>
      <c r="G413" s="253"/>
      <c r="J413" s="73"/>
      <c r="K413" s="73"/>
      <c r="L413" s="73"/>
      <c r="M413" s="247" t="e">
        <f>HLOOKUP($E$4,$S$411:$AA$413,3,TRUE)</f>
        <v>#N/A</v>
      </c>
      <c r="N413" s="73" t="s">
        <v>744</v>
      </c>
      <c r="O413" s="73"/>
      <c r="P413" s="73"/>
      <c r="Q413" s="73"/>
      <c r="R413" s="73"/>
      <c r="S413" s="283">
        <f>S412*0.7</f>
        <v>3479.4375</v>
      </c>
      <c r="T413" s="283">
        <f t="shared" ref="T413:AA413" si="70">T412*0.7</f>
        <v>3589.1624999999999</v>
      </c>
      <c r="U413" s="283">
        <f t="shared" si="70"/>
        <v>3752.3062499999996</v>
      </c>
      <c r="V413" s="283">
        <f t="shared" si="70"/>
        <v>3922.6687499999998</v>
      </c>
      <c r="W413" s="283">
        <f t="shared" si="70"/>
        <v>4093.0312499999995</v>
      </c>
      <c r="X413" s="283">
        <f t="shared" si="70"/>
        <v>4179.65625</v>
      </c>
      <c r="Y413" s="283">
        <f t="shared" si="70"/>
        <v>4263.3937500000002</v>
      </c>
      <c r="Z413" s="283">
        <f t="shared" si="70"/>
        <v>4835.1187499999996</v>
      </c>
      <c r="AA413" s="283">
        <f t="shared" si="70"/>
        <v>5005.4812499999998</v>
      </c>
    </row>
    <row r="414" spans="1:256" s="43" customFormat="1" hidden="1">
      <c r="A414" s="69"/>
      <c r="B414" s="52">
        <v>1</v>
      </c>
      <c r="C414" s="35" t="s">
        <v>160</v>
      </c>
      <c r="D414" s="71"/>
      <c r="E414" s="244" t="str">
        <f t="shared" si="67"/>
        <v/>
      </c>
      <c r="F414" s="72"/>
      <c r="G414" s="284"/>
      <c r="I414" s="73"/>
      <c r="J414" s="73"/>
      <c r="K414" s="266"/>
      <c r="L414" s="266"/>
      <c r="M414" s="223">
        <f>N414*2</f>
        <v>953.36999999999989</v>
      </c>
      <c r="N414" s="223">
        <f>P414*O414</f>
        <v>476.68499999999995</v>
      </c>
      <c r="O414" s="43">
        <v>1.65</v>
      </c>
      <c r="P414" s="271">
        <f>2568*0.2*0.9/1.6</f>
        <v>288.89999999999998</v>
      </c>
      <c r="Q414" s="266"/>
      <c r="R414" s="73"/>
      <c r="S414" s="275"/>
      <c r="T414" s="193"/>
      <c r="U414" s="274"/>
      <c r="V414" s="206"/>
      <c r="W414" s="84"/>
      <c r="X414" s="51"/>
      <c r="Y414" s="30"/>
      <c r="Z414" s="85"/>
      <c r="AA414" s="275"/>
      <c r="AB414" s="193"/>
      <c r="AC414" s="274"/>
      <c r="AD414" s="206"/>
    </row>
    <row r="415" spans="1:256" s="43" customFormat="1" hidden="1">
      <c r="A415" s="69"/>
      <c r="B415" s="52">
        <v>1</v>
      </c>
      <c r="C415" s="35" t="s">
        <v>161</v>
      </c>
      <c r="D415" s="35"/>
      <c r="E415" s="244" t="str">
        <f t="shared" si="67"/>
        <v/>
      </c>
      <c r="F415" s="35"/>
      <c r="G415" s="225"/>
      <c r="K415" s="139"/>
      <c r="L415" s="139"/>
      <c r="M415" s="223">
        <f t="shared" ref="M415:M435" si="71">N415*2</f>
        <v>367.53749999999997</v>
      </c>
      <c r="N415" s="223">
        <f t="shared" ref="N415:N435" si="72">P415*O415</f>
        <v>183.76874999999998</v>
      </c>
      <c r="O415" s="43">
        <v>1.65</v>
      </c>
      <c r="P415" s="224">
        <f>198*0.9/1.6</f>
        <v>111.375</v>
      </c>
      <c r="Q415" s="139"/>
      <c r="S415" s="275"/>
      <c r="T415" s="193"/>
      <c r="U415" s="274"/>
      <c r="V415" s="206"/>
      <c r="W415" s="84"/>
      <c r="X415" s="51"/>
      <c r="Y415" s="30"/>
      <c r="Z415" s="85"/>
      <c r="AA415" s="275"/>
      <c r="AB415" s="193"/>
      <c r="AC415" s="274"/>
      <c r="AD415" s="206"/>
    </row>
    <row r="416" spans="1:256" s="43" customFormat="1" hidden="1">
      <c r="A416" s="69"/>
      <c r="B416" s="52">
        <v>1</v>
      </c>
      <c r="C416" s="35" t="s">
        <v>162</v>
      </c>
      <c r="D416" s="35"/>
      <c r="E416" s="244" t="str">
        <f t="shared" si="67"/>
        <v/>
      </c>
      <c r="F416" s="35"/>
      <c r="G416" s="225"/>
      <c r="K416" s="139"/>
      <c r="L416" s="139"/>
      <c r="M416" s="223">
        <f t="shared" si="71"/>
        <v>447.35624999999999</v>
      </c>
      <c r="N416" s="223">
        <f t="shared" si="72"/>
        <v>223.67812499999999</v>
      </c>
      <c r="O416" s="43">
        <v>1.65</v>
      </c>
      <c r="P416" s="224">
        <f>241*0.9/1.6</f>
        <v>135.5625</v>
      </c>
      <c r="Q416" s="139"/>
      <c r="S416" s="275"/>
      <c r="T416" s="193"/>
      <c r="U416" s="274"/>
      <c r="V416" s="206"/>
      <c r="W416" s="84"/>
      <c r="X416" s="51"/>
      <c r="Y416" s="30"/>
      <c r="Z416" s="85"/>
      <c r="AA416" s="275"/>
      <c r="AB416" s="193"/>
      <c r="AC416" s="274"/>
      <c r="AD416" s="206"/>
    </row>
    <row r="417" spans="1:35" s="43" customFormat="1" hidden="1">
      <c r="A417" s="69"/>
      <c r="B417" s="52">
        <v>1</v>
      </c>
      <c r="C417" s="35" t="s">
        <v>163</v>
      </c>
      <c r="D417" s="35"/>
      <c r="E417" s="244" t="str">
        <f t="shared" si="67"/>
        <v/>
      </c>
      <c r="F417" s="35"/>
      <c r="G417" s="225"/>
      <c r="K417" s="139"/>
      <c r="L417" s="139"/>
      <c r="M417" s="223">
        <f t="shared" si="71"/>
        <v>811.18124999999998</v>
      </c>
      <c r="N417" s="223">
        <f t="shared" si="72"/>
        <v>405.59062499999999</v>
      </c>
      <c r="O417" s="43">
        <v>1.65</v>
      </c>
      <c r="P417" s="224">
        <f>437*0.9/1.6</f>
        <v>245.8125</v>
      </c>
      <c r="Q417" s="139"/>
      <c r="S417" s="275"/>
      <c r="T417" s="193"/>
      <c r="U417" s="274"/>
      <c r="V417" s="206"/>
      <c r="W417" s="84"/>
      <c r="X417" s="51"/>
      <c r="Y417" s="30"/>
      <c r="Z417" s="85"/>
      <c r="AA417" s="275"/>
      <c r="AB417" s="193"/>
      <c r="AC417" s="274"/>
      <c r="AD417" s="206"/>
    </row>
    <row r="418" spans="1:35" s="43" customFormat="1" hidden="1">
      <c r="A418" s="69"/>
      <c r="B418" s="52">
        <v>1</v>
      </c>
      <c r="C418" s="35" t="s">
        <v>164</v>
      </c>
      <c r="D418" s="35"/>
      <c r="E418" s="244" t="str">
        <f t="shared" si="67"/>
        <v/>
      </c>
      <c r="F418" s="35"/>
      <c r="G418" s="225"/>
      <c r="K418" s="139"/>
      <c r="L418" s="139"/>
      <c r="M418" s="223">
        <f t="shared" si="71"/>
        <v>525.31875000000002</v>
      </c>
      <c r="N418" s="223">
        <f t="shared" si="72"/>
        <v>262.65937500000001</v>
      </c>
      <c r="O418" s="43">
        <v>1.65</v>
      </c>
      <c r="P418" s="224">
        <f>283*0.9/1.6</f>
        <v>159.1875</v>
      </c>
      <c r="Q418" s="139"/>
      <c r="S418" s="275"/>
      <c r="T418" s="193"/>
      <c r="U418" s="274"/>
      <c r="V418" s="206"/>
      <c r="W418" s="84"/>
      <c r="X418" s="51"/>
      <c r="Y418" s="30"/>
      <c r="Z418" s="85"/>
      <c r="AA418" s="275"/>
      <c r="AB418" s="193"/>
      <c r="AC418" s="274"/>
      <c r="AD418" s="206"/>
    </row>
    <row r="419" spans="1:35" s="43" customFormat="1">
      <c r="A419" s="69">
        <f>IF(B419&gt;0,IF(OR('Estimating Form'!$G$50="Yes",'Estimating Form'!$G$50="Yes"),1,0),0)</f>
        <v>0</v>
      </c>
      <c r="B419" s="69">
        <f>SUM(A633:A634,A637:A640,A643:A646)</f>
        <v>0</v>
      </c>
      <c r="C419" s="35" t="s">
        <v>165</v>
      </c>
      <c r="D419" s="35"/>
      <c r="E419" s="244">
        <f t="shared" si="67"/>
        <v>0</v>
      </c>
      <c r="F419" s="35"/>
      <c r="G419" s="225"/>
      <c r="K419" s="139"/>
      <c r="L419" s="139"/>
      <c r="M419" s="415">
        <f t="shared" si="71"/>
        <v>373.10624999999999</v>
      </c>
      <c r="N419" s="415">
        <f t="shared" si="72"/>
        <v>186.55312499999999</v>
      </c>
      <c r="O419" s="416">
        <v>1.65</v>
      </c>
      <c r="P419" s="425">
        <f>268*0.75*0.9/1.6</f>
        <v>113.0625</v>
      </c>
      <c r="Q419" s="139"/>
      <c r="S419" s="275"/>
      <c r="T419" s="193"/>
      <c r="U419" s="274"/>
      <c r="V419" s="206"/>
      <c r="W419" s="84"/>
      <c r="X419" s="51"/>
      <c r="Y419" s="30"/>
      <c r="Z419" s="85"/>
      <c r="AA419" s="275"/>
      <c r="AB419" s="193"/>
      <c r="AC419" s="274"/>
      <c r="AD419" s="206"/>
    </row>
    <row r="420" spans="1:35" s="43" customFormat="1">
      <c r="A420" s="69">
        <f>IF(B420&gt;0,IF(OR('Estimating Form'!$G$50="Yes",'Estimating Form'!$G$50="Yes"),1,0),0)</f>
        <v>0</v>
      </c>
      <c r="B420" s="69">
        <f>SUM(A649:A652,A655:A657)</f>
        <v>0</v>
      </c>
      <c r="C420" s="35" t="s">
        <v>166</v>
      </c>
      <c r="D420" s="35"/>
      <c r="E420" s="244">
        <f t="shared" si="67"/>
        <v>0</v>
      </c>
      <c r="F420" s="35"/>
      <c r="G420" s="225"/>
      <c r="K420" s="139"/>
      <c r="L420" s="139"/>
      <c r="M420" s="415">
        <f t="shared" si="71"/>
        <v>618.13124999999991</v>
      </c>
      <c r="N420" s="415">
        <f t="shared" si="72"/>
        <v>309.06562499999995</v>
      </c>
      <c r="O420" s="416">
        <v>1.65</v>
      </c>
      <c r="P420" s="425">
        <f>444*0.75*0.9/1.6</f>
        <v>187.31249999999997</v>
      </c>
      <c r="Q420" s="139"/>
      <c r="S420" s="275"/>
      <c r="T420" s="193"/>
      <c r="U420" s="274"/>
      <c r="V420" s="206"/>
      <c r="W420" s="84"/>
      <c r="X420" s="51"/>
      <c r="Y420" s="30"/>
      <c r="Z420" s="85"/>
      <c r="AA420" s="275"/>
      <c r="AB420" s="193"/>
      <c r="AC420" s="274"/>
      <c r="AD420" s="206"/>
    </row>
    <row r="421" spans="1:35" s="43" customFormat="1" ht="15.75" thickBot="1">
      <c r="A421" s="69">
        <f>IF(B421&gt;0,IF(OR('Estimating Form'!$G$50="Yes",'Estimating Form'!$G$50="Yes"),1,0),0)</f>
        <v>0</v>
      </c>
      <c r="B421" s="69">
        <f>SUM(A660:A661,A664,A667)</f>
        <v>0</v>
      </c>
      <c r="C421" s="43" t="s">
        <v>463</v>
      </c>
      <c r="D421" s="35"/>
      <c r="E421" s="244">
        <f t="shared" si="67"/>
        <v>0</v>
      </c>
      <c r="F421" s="35"/>
      <c r="G421" s="225"/>
      <c r="K421" s="139"/>
      <c r="L421" s="139"/>
      <c r="M421" s="415">
        <f t="shared" si="71"/>
        <v>970.35468749999995</v>
      </c>
      <c r="N421" s="415">
        <f t="shared" si="72"/>
        <v>485.17734374999998</v>
      </c>
      <c r="O421" s="416">
        <v>1.65</v>
      </c>
      <c r="P421" s="425">
        <f>697*0.75*0.9/1.6</f>
        <v>294.046875</v>
      </c>
      <c r="Q421" s="139"/>
      <c r="S421" s="30"/>
      <c r="T421" s="30"/>
      <c r="U421" s="30"/>
      <c r="V421" s="30"/>
      <c r="W421" s="30"/>
      <c r="X421" s="30"/>
      <c r="Y421" s="30"/>
      <c r="Z421" s="30"/>
      <c r="AA421" s="30"/>
      <c r="AB421" s="30"/>
      <c r="AC421" s="30"/>
      <c r="AD421" s="30"/>
    </row>
    <row r="422" spans="1:35" s="43" customFormat="1" ht="15.75" hidden="1" thickBot="1">
      <c r="A422" s="69"/>
      <c r="B422" s="52">
        <v>1</v>
      </c>
      <c r="C422" s="35" t="s">
        <v>167</v>
      </c>
      <c r="D422" s="35"/>
      <c r="E422" s="244" t="str">
        <f t="shared" si="67"/>
        <v/>
      </c>
      <c r="F422" s="35" t="s">
        <v>179</v>
      </c>
      <c r="G422" s="225"/>
      <c r="K422" s="139"/>
      <c r="L422" s="139"/>
      <c r="M422" s="223">
        <f t="shared" si="71"/>
        <v>1261.3218749999999</v>
      </c>
      <c r="N422" s="223">
        <f t="shared" si="72"/>
        <v>630.66093749999993</v>
      </c>
      <c r="O422" s="43">
        <v>1.65</v>
      </c>
      <c r="P422" s="224">
        <f>906*0.75*0.9/1.6</f>
        <v>382.21875</v>
      </c>
      <c r="Q422" s="139"/>
      <c r="S422" s="30"/>
      <c r="T422" s="30"/>
      <c r="U422" s="30"/>
      <c r="V422" s="30"/>
      <c r="W422" s="30"/>
      <c r="X422" s="30"/>
      <c r="Y422" s="30"/>
      <c r="Z422" s="30"/>
      <c r="AA422" s="30"/>
      <c r="AB422" s="30"/>
      <c r="AC422" s="30"/>
      <c r="AD422" s="30"/>
    </row>
    <row r="423" spans="1:35" s="43" customFormat="1" ht="15.75" hidden="1" thickBot="1">
      <c r="A423" s="69"/>
      <c r="B423" s="52">
        <v>1</v>
      </c>
      <c r="C423" s="35" t="s">
        <v>168</v>
      </c>
      <c r="D423" s="35"/>
      <c r="E423" s="244" t="str">
        <f t="shared" si="67"/>
        <v/>
      </c>
      <c r="F423" s="35"/>
      <c r="G423" s="225"/>
      <c r="K423" s="285"/>
      <c r="L423" s="285"/>
      <c r="M423" s="223">
        <f t="shared" si="71"/>
        <v>0</v>
      </c>
      <c r="N423" s="223">
        <f t="shared" si="72"/>
        <v>0</v>
      </c>
      <c r="O423" s="43">
        <v>1.65</v>
      </c>
      <c r="P423" s="224"/>
      <c r="Q423" s="285"/>
      <c r="S423" s="30"/>
      <c r="T423" s="30"/>
      <c r="U423" s="30"/>
      <c r="V423" s="30"/>
      <c r="W423" s="30"/>
      <c r="X423" s="30"/>
      <c r="Y423" s="30"/>
      <c r="Z423" s="30"/>
      <c r="AA423" s="30"/>
      <c r="AB423" s="30"/>
      <c r="AC423" s="30"/>
      <c r="AD423" s="30"/>
    </row>
    <row r="424" spans="1:35" s="73" customFormat="1" ht="15.75" hidden="1" thickBot="1">
      <c r="A424" s="69"/>
      <c r="B424" s="52">
        <v>1</v>
      </c>
      <c r="C424" s="35" t="s">
        <v>169</v>
      </c>
      <c r="D424" s="35"/>
      <c r="E424" s="244" t="str">
        <f t="shared" si="67"/>
        <v/>
      </c>
      <c r="F424" s="35"/>
      <c r="G424" s="225"/>
      <c r="I424" s="43"/>
      <c r="J424" s="43"/>
      <c r="K424" s="139"/>
      <c r="L424" s="139"/>
      <c r="M424" s="223">
        <f t="shared" si="71"/>
        <v>1438.59375</v>
      </c>
      <c r="N424" s="223">
        <f t="shared" si="72"/>
        <v>719.296875</v>
      </c>
      <c r="O424" s="43">
        <v>1.65</v>
      </c>
      <c r="P424" s="224">
        <f>775*0.9/1.6</f>
        <v>435.9375</v>
      </c>
      <c r="Q424" s="139"/>
      <c r="R424" s="43"/>
      <c r="S424" s="30"/>
      <c r="T424" s="30"/>
      <c r="U424" s="30"/>
      <c r="V424" s="30"/>
      <c r="W424" s="30"/>
      <c r="X424" s="30"/>
      <c r="Y424" s="30"/>
      <c r="Z424" s="30"/>
      <c r="AA424" s="30"/>
      <c r="AB424" s="30"/>
      <c r="AC424" s="30"/>
      <c r="AD424" s="30"/>
      <c r="AE424" s="43"/>
      <c r="AF424" s="43"/>
      <c r="AG424" s="43"/>
      <c r="AH424" s="43"/>
      <c r="AI424" s="43"/>
    </row>
    <row r="425" spans="1:35" s="73" customFormat="1" ht="15.75" hidden="1" thickBot="1">
      <c r="A425" s="69"/>
      <c r="B425" s="52">
        <v>1</v>
      </c>
      <c r="C425" s="35" t="s">
        <v>170</v>
      </c>
      <c r="D425" s="35"/>
      <c r="E425" s="244" t="str">
        <f t="shared" si="67"/>
        <v/>
      </c>
      <c r="F425" s="35"/>
      <c r="G425" s="225"/>
      <c r="I425" s="43"/>
      <c r="J425" s="43"/>
      <c r="K425" s="139"/>
      <c r="L425" s="139"/>
      <c r="M425" s="223">
        <f t="shared" si="71"/>
        <v>276.58124999999995</v>
      </c>
      <c r="N425" s="223">
        <f t="shared" si="72"/>
        <v>138.29062499999998</v>
      </c>
      <c r="O425" s="43">
        <v>1.65</v>
      </c>
      <c r="P425" s="224">
        <f>149*0.9/1.6</f>
        <v>83.812499999999986</v>
      </c>
      <c r="Q425" s="139"/>
      <c r="R425" s="43"/>
      <c r="S425" s="30"/>
      <c r="T425" s="30"/>
      <c r="U425" s="30"/>
      <c r="V425" s="30"/>
      <c r="W425" s="30"/>
      <c r="X425" s="30"/>
      <c r="Y425" s="30"/>
      <c r="Z425" s="30"/>
      <c r="AA425" s="30"/>
      <c r="AB425" s="30"/>
      <c r="AC425" s="30"/>
      <c r="AD425" s="30"/>
      <c r="AE425" s="43"/>
      <c r="AF425" s="43"/>
      <c r="AG425" s="43"/>
      <c r="AH425" s="43"/>
      <c r="AI425" s="43"/>
    </row>
    <row r="426" spans="1:35" s="43" customFormat="1" ht="15.75" hidden="1" thickBot="1">
      <c r="A426" s="69"/>
      <c r="B426" s="52">
        <v>1</v>
      </c>
      <c r="C426" s="35" t="s">
        <v>171</v>
      </c>
      <c r="D426" s="35"/>
      <c r="E426" s="244" t="str">
        <f t="shared" si="67"/>
        <v/>
      </c>
      <c r="F426" s="35"/>
      <c r="G426" s="225"/>
      <c r="K426" s="139"/>
      <c r="L426" s="139"/>
      <c r="M426" s="223">
        <f t="shared" si="71"/>
        <v>219.03749999999999</v>
      </c>
      <c r="N426" s="223">
        <f t="shared" si="72"/>
        <v>109.51875</v>
      </c>
      <c r="O426" s="43">
        <v>1.65</v>
      </c>
      <c r="P426" s="224">
        <f>118*0.9/1.6</f>
        <v>66.375</v>
      </c>
      <c r="Q426" s="139"/>
      <c r="S426" s="30"/>
      <c r="T426" s="30"/>
      <c r="U426" s="30"/>
      <c r="V426" s="30"/>
      <c r="W426" s="30"/>
      <c r="X426" s="30"/>
      <c r="Y426" s="30"/>
      <c r="Z426" s="30"/>
      <c r="AA426" s="30"/>
      <c r="AB426" s="30"/>
      <c r="AC426" s="30"/>
      <c r="AD426" s="30"/>
    </row>
    <row r="427" spans="1:35" s="43" customFormat="1" ht="15.75" hidden="1" thickBot="1">
      <c r="A427" s="69"/>
      <c r="B427" s="52">
        <v>1</v>
      </c>
      <c r="C427" s="35" t="s">
        <v>172</v>
      </c>
      <c r="D427" s="35"/>
      <c r="E427" s="244" t="str">
        <f t="shared" si="67"/>
        <v/>
      </c>
      <c r="F427" s="35"/>
      <c r="G427" s="225"/>
      <c r="K427" s="139"/>
      <c r="L427" s="139"/>
      <c r="M427" s="223">
        <f t="shared" si="71"/>
        <v>232.03125</v>
      </c>
      <c r="N427" s="223">
        <f t="shared" si="72"/>
        <v>116.015625</v>
      </c>
      <c r="O427" s="43">
        <v>1.65</v>
      </c>
      <c r="P427" s="224">
        <f>125*0.9/1.6</f>
        <v>70.3125</v>
      </c>
      <c r="Q427" s="139"/>
    </row>
    <row r="428" spans="1:35" s="43" customFormat="1" ht="15.75" hidden="1" thickBot="1">
      <c r="A428" s="69"/>
      <c r="B428" s="52">
        <v>1</v>
      </c>
      <c r="C428" s="35" t="s">
        <v>745</v>
      </c>
      <c r="D428" s="35"/>
      <c r="E428" s="244" t="str">
        <f t="shared" si="67"/>
        <v/>
      </c>
      <c r="F428" s="35"/>
      <c r="G428" s="225"/>
      <c r="K428" s="139"/>
      <c r="L428" s="139"/>
      <c r="M428" s="223">
        <f t="shared" si="71"/>
        <v>302.56874999999997</v>
      </c>
      <c r="N428" s="223">
        <f t="shared" si="72"/>
        <v>151.28437499999998</v>
      </c>
      <c r="O428" s="43">
        <v>1.65</v>
      </c>
      <c r="P428" s="224">
        <f>163*0.9/1.6</f>
        <v>91.6875</v>
      </c>
      <c r="Q428" s="139"/>
      <c r="AE428" s="73"/>
      <c r="AF428" s="73"/>
      <c r="AG428" s="73"/>
      <c r="AH428" s="73"/>
      <c r="AI428" s="73"/>
    </row>
    <row r="429" spans="1:35" s="43" customFormat="1" ht="15.75" hidden="1" thickBot="1">
      <c r="A429" s="69"/>
      <c r="B429" s="52">
        <v>1</v>
      </c>
      <c r="C429" s="35" t="s">
        <v>173</v>
      </c>
      <c r="D429" s="35"/>
      <c r="E429" s="244" t="str">
        <f t="shared" si="67"/>
        <v/>
      </c>
      <c r="F429" s="35" t="s">
        <v>174</v>
      </c>
      <c r="G429" s="225"/>
      <c r="K429" s="139"/>
      <c r="L429" s="139"/>
      <c r="M429" s="223">
        <f t="shared" si="71"/>
        <v>1085.90625</v>
      </c>
      <c r="N429" s="223">
        <f t="shared" si="72"/>
        <v>542.953125</v>
      </c>
      <c r="O429" s="43">
        <v>1.65</v>
      </c>
      <c r="P429" s="224">
        <f>585*0.9/1.6</f>
        <v>329.0625</v>
      </c>
      <c r="Q429" s="139"/>
      <c r="AE429" s="73"/>
      <c r="AF429" s="73"/>
      <c r="AG429" s="73"/>
      <c r="AH429" s="73"/>
      <c r="AI429" s="73"/>
    </row>
    <row r="430" spans="1:35" s="43" customFormat="1" ht="15.75" hidden="1" thickBot="1">
      <c r="A430" s="69"/>
      <c r="B430" s="52">
        <v>1</v>
      </c>
      <c r="C430" s="35" t="s">
        <v>175</v>
      </c>
      <c r="D430" s="35"/>
      <c r="E430" s="244" t="str">
        <f t="shared" si="67"/>
        <v/>
      </c>
      <c r="F430" s="35"/>
      <c r="G430" s="225"/>
      <c r="K430" s="139"/>
      <c r="L430" s="139"/>
      <c r="M430" s="223">
        <f t="shared" si="71"/>
        <v>837.16874999999993</v>
      </c>
      <c r="N430" s="223">
        <f t="shared" si="72"/>
        <v>418.58437499999997</v>
      </c>
      <c r="O430" s="43">
        <v>1.65</v>
      </c>
      <c r="P430" s="224">
        <f>451*0.9/1.6</f>
        <v>253.6875</v>
      </c>
      <c r="Q430" s="139"/>
    </row>
    <row r="431" spans="1:35" s="43" customFormat="1" ht="15.75" hidden="1" thickBot="1">
      <c r="A431" s="69"/>
      <c r="B431" s="52">
        <v>1</v>
      </c>
      <c r="C431" s="35" t="s">
        <v>176</v>
      </c>
      <c r="D431" s="35"/>
      <c r="E431" s="244" t="str">
        <f t="shared" si="67"/>
        <v/>
      </c>
      <c r="F431" s="35"/>
      <c r="G431" s="225"/>
      <c r="K431" s="139"/>
      <c r="L431" s="139"/>
      <c r="M431" s="223">
        <f t="shared" si="71"/>
        <v>3098.0812499999997</v>
      </c>
      <c r="N431" s="223">
        <f t="shared" si="72"/>
        <v>1549.0406249999999</v>
      </c>
      <c r="O431" s="43">
        <v>1.65</v>
      </c>
      <c r="P431" s="224">
        <f>1669*0.9/1.6</f>
        <v>938.8125</v>
      </c>
      <c r="Q431" s="139"/>
    </row>
    <row r="432" spans="1:35" s="43" customFormat="1" ht="15.75" hidden="1" thickBot="1">
      <c r="A432" s="69"/>
      <c r="B432" s="52">
        <v>1</v>
      </c>
      <c r="C432" s="35" t="s">
        <v>177</v>
      </c>
      <c r="D432" s="35"/>
      <c r="E432" s="244" t="str">
        <f t="shared" si="67"/>
        <v/>
      </c>
      <c r="F432" s="35"/>
      <c r="G432" s="225"/>
      <c r="K432" s="139"/>
      <c r="L432" s="139"/>
      <c r="M432" s="223">
        <f t="shared" si="71"/>
        <v>141.07499999999999</v>
      </c>
      <c r="N432" s="223">
        <f t="shared" si="72"/>
        <v>70.537499999999994</v>
      </c>
      <c r="O432" s="43">
        <v>1.65</v>
      </c>
      <c r="P432" s="224">
        <f>76*0.9/1.6</f>
        <v>42.75</v>
      </c>
      <c r="Q432" s="139"/>
    </row>
    <row r="433" spans="1:35" s="43" customFormat="1" ht="16.5" hidden="1" thickBot="1">
      <c r="A433" s="69"/>
      <c r="B433" s="52">
        <v>1</v>
      </c>
      <c r="C433" s="235" t="s">
        <v>404</v>
      </c>
      <c r="D433" s="35"/>
      <c r="E433" s="244" t="str">
        <f t="shared" si="67"/>
        <v/>
      </c>
      <c r="F433" s="35" t="s">
        <v>405</v>
      </c>
      <c r="K433" s="139"/>
      <c r="L433" s="139"/>
      <c r="M433" s="223">
        <f t="shared" si="71"/>
        <v>745.16399999999999</v>
      </c>
      <c r="N433" s="223">
        <f t="shared" si="72"/>
        <v>372.58199999999999</v>
      </c>
      <c r="O433" s="43">
        <v>1.4</v>
      </c>
      <c r="P433" s="226">
        <f>171.43+94.7</f>
        <v>266.13</v>
      </c>
      <c r="Q433" s="139"/>
    </row>
    <row r="434" spans="1:35" s="43" customFormat="1" ht="15.75" hidden="1" thickBot="1">
      <c r="A434" s="69"/>
      <c r="B434" s="52">
        <v>1</v>
      </c>
      <c r="C434" s="35" t="s">
        <v>178</v>
      </c>
      <c r="D434" s="35"/>
      <c r="E434" s="244" t="str">
        <f t="shared" si="67"/>
        <v/>
      </c>
      <c r="F434" s="35" t="s">
        <v>179</v>
      </c>
      <c r="G434" s="225"/>
      <c r="K434" s="139"/>
      <c r="L434" s="139"/>
      <c r="M434" s="223">
        <f t="shared" si="71"/>
        <v>408.375</v>
      </c>
      <c r="N434" s="223">
        <f t="shared" si="72"/>
        <v>204.1875</v>
      </c>
      <c r="O434" s="43">
        <v>1.65</v>
      </c>
      <c r="P434" s="224">
        <f>220*0.9/1.6</f>
        <v>123.75</v>
      </c>
      <c r="Q434" s="139"/>
    </row>
    <row r="435" spans="1:35" s="43" customFormat="1" ht="15.75" hidden="1" thickBot="1">
      <c r="A435" s="69"/>
      <c r="B435" s="52">
        <v>1</v>
      </c>
      <c r="C435" s="35" t="s">
        <v>180</v>
      </c>
      <c r="D435" s="35"/>
      <c r="E435" s="244" t="str">
        <f t="shared" si="67"/>
        <v/>
      </c>
      <c r="F435" s="35" t="s">
        <v>179</v>
      </c>
      <c r="K435" s="139"/>
      <c r="L435" s="139"/>
      <c r="M435" s="223">
        <f t="shared" si="71"/>
        <v>347.11874999999998</v>
      </c>
      <c r="N435" s="223">
        <f t="shared" si="72"/>
        <v>173.55937499999999</v>
      </c>
      <c r="O435" s="43">
        <v>1.65</v>
      </c>
      <c r="P435" s="224">
        <f>187*0.9/1.6</f>
        <v>105.1875</v>
      </c>
      <c r="Q435" s="139"/>
    </row>
    <row r="436" spans="1:35" s="43" customFormat="1" ht="16.5" hidden="1" thickBot="1">
      <c r="A436" s="90" t="str">
        <f>IF(AM8=0,"","-")</f>
        <v/>
      </c>
      <c r="B436" s="90" t="s">
        <v>149</v>
      </c>
      <c r="C436" s="218" t="s">
        <v>282</v>
      </c>
      <c r="D436" s="240"/>
      <c r="E436" s="241"/>
      <c r="F436" s="68">
        <f>SUM(E437:E536)</f>
        <v>0</v>
      </c>
      <c r="G436" s="256"/>
      <c r="H436" s="242"/>
      <c r="J436" s="73"/>
      <c r="K436" s="139"/>
      <c r="L436" s="139"/>
      <c r="M436" s="139"/>
      <c r="N436" s="139"/>
      <c r="O436" s="139"/>
      <c r="P436" s="139"/>
      <c r="Q436" s="139"/>
    </row>
    <row r="437" spans="1:35" s="73" customFormat="1" ht="16.5" hidden="1" thickBot="1">
      <c r="A437" s="52"/>
      <c r="B437" s="52">
        <v>22</v>
      </c>
      <c r="C437" s="235" t="s">
        <v>283</v>
      </c>
      <c r="D437" s="52"/>
      <c r="E437" s="286" t="str">
        <f>IF(ISBLANK(A437),"",(SUM(G437:G492)))</f>
        <v/>
      </c>
      <c r="F437" s="35"/>
      <c r="G437" s="258" t="str">
        <f>IF(ISBLANK(A437),"",(A437*M437*(1-$H$3)))</f>
        <v/>
      </c>
      <c r="I437" s="43"/>
      <c r="K437" s="285"/>
      <c r="L437" s="285"/>
      <c r="M437" s="223">
        <f>N437*2</f>
        <v>495</v>
      </c>
      <c r="N437" s="223">
        <f>P437*O437</f>
        <v>247.5</v>
      </c>
      <c r="O437" s="43">
        <v>1.65</v>
      </c>
      <c r="P437" s="251">
        <v>150</v>
      </c>
      <c r="Q437" s="285"/>
      <c r="R437" s="43"/>
      <c r="S437" s="43"/>
      <c r="T437" s="43"/>
      <c r="U437" s="43"/>
      <c r="V437" s="43"/>
      <c r="W437" s="43"/>
      <c r="X437" s="43"/>
      <c r="Y437" s="43"/>
      <c r="Z437" s="43"/>
      <c r="AA437" s="43"/>
      <c r="AB437" s="43"/>
      <c r="AC437" s="43"/>
      <c r="AD437" s="43"/>
      <c r="AE437" s="43"/>
      <c r="AF437" s="43"/>
      <c r="AG437" s="43"/>
      <c r="AH437" s="43"/>
      <c r="AI437" s="43"/>
    </row>
    <row r="438" spans="1:35" s="43" customFormat="1" ht="15.75" hidden="1" thickBot="1">
      <c r="A438" s="259" t="str">
        <f t="shared" ref="A438:A443" si="73">IF(ISBLANK($A$437),"","-")</f>
        <v/>
      </c>
      <c r="B438" s="52">
        <v>22</v>
      </c>
      <c r="C438" s="35" t="str">
        <f>IF(OR(A457&gt;0,A458&gt;0,A459&gt;0),"- See Optional Panel type selected below","- Applied Panel")</f>
        <v>- Applied Panel</v>
      </c>
      <c r="D438" s="52" t="str">
        <f>IF(E438="","Included","")</f>
        <v>Included</v>
      </c>
      <c r="E438" s="77" t="str">
        <f>IF(AND(ISBLANK($A$437),A438&gt;0),G438,"")</f>
        <v/>
      </c>
      <c r="F438" s="35"/>
      <c r="G438" s="258" t="str">
        <f>IF(A438="","",(M438*(1-$H$3)))</f>
        <v/>
      </c>
      <c r="J438" s="73"/>
      <c r="K438" s="285"/>
      <c r="L438" s="285"/>
      <c r="M438" s="223">
        <f t="shared" ref="M438:M454" si="74">N438*2</f>
        <v>909.5625</v>
      </c>
      <c r="N438" s="223">
        <f t="shared" ref="N438:N454" si="75">P438*O438</f>
        <v>454.78125</v>
      </c>
      <c r="O438" s="43">
        <v>1.65</v>
      </c>
      <c r="P438" s="233">
        <f>IF(OR($A$457&gt;0,$A$458&gt;0,$A$459&gt;0),0,490*0.9/1.6)</f>
        <v>275.625</v>
      </c>
      <c r="Q438" s="285"/>
    </row>
    <row r="439" spans="1:35" s="43" customFormat="1" ht="15.75" hidden="1" thickBot="1">
      <c r="A439" s="259" t="str">
        <f t="shared" si="73"/>
        <v/>
      </c>
      <c r="B439" s="52">
        <v>22</v>
      </c>
      <c r="C439" s="35" t="str">
        <f>IF(OR(A462&gt;0,A484&gt;0),"- See Optional Button/COP type selected below","- Vandal Resistant Floor Buttons(V2,V7,V10,V6,V8,V9)")</f>
        <v>- Vandal Resistant Floor Buttons(V2,V7,V10,V6,V8,V9)</v>
      </c>
      <c r="D439" s="52" t="str">
        <f t="shared" ref="D439:D454" si="76">IF(E439="","Included","")</f>
        <v>Included</v>
      </c>
      <c r="E439" s="77" t="str">
        <f t="shared" ref="E439:E454" si="77">IF(AND(ISBLANK($A$437),A439&gt;0),G439,"")</f>
        <v/>
      </c>
      <c r="F439" s="35"/>
      <c r="G439" s="258" t="str">
        <f t="shared" ref="G439:G455" si="78">IF(A439="","",(M439*(1-$H$3)))</f>
        <v/>
      </c>
      <c r="J439" s="73"/>
      <c r="K439" s="285"/>
      <c r="L439" s="285"/>
      <c r="M439" s="223">
        <f t="shared" si="74"/>
        <v>0</v>
      </c>
      <c r="N439" s="223">
        <f t="shared" si="75"/>
        <v>0</v>
      </c>
      <c r="O439" s="43">
        <v>1.65</v>
      </c>
      <c r="P439" s="233">
        <f>IF(OR(A462&gt;0,A484&gt;0),0,40*($E$7+$E$8)*0.9/1.6)</f>
        <v>0</v>
      </c>
      <c r="Q439" s="285"/>
    </row>
    <row r="440" spans="1:35" s="43" customFormat="1" ht="15.75" hidden="1" thickBot="1">
      <c r="A440" s="259" t="str">
        <f t="shared" si="73"/>
        <v/>
      </c>
      <c r="B440" s="52">
        <v>22</v>
      </c>
      <c r="C440" s="231" t="s">
        <v>746</v>
      </c>
      <c r="D440" s="52" t="str">
        <f t="shared" si="76"/>
        <v>Included</v>
      </c>
      <c r="E440" s="77" t="str">
        <f t="shared" si="77"/>
        <v/>
      </c>
      <c r="F440" s="35"/>
      <c r="G440" s="258" t="str">
        <f t="shared" si="78"/>
        <v/>
      </c>
      <c r="J440" s="73"/>
      <c r="K440" s="285"/>
      <c r="L440" s="285"/>
      <c r="M440" s="223">
        <f t="shared" si="74"/>
        <v>46.40625</v>
      </c>
      <c r="N440" s="223">
        <f t="shared" si="75"/>
        <v>23.203125</v>
      </c>
      <c r="O440" s="43">
        <v>1.65</v>
      </c>
      <c r="P440" s="233">
        <f>25*0.9/1.6</f>
        <v>14.0625</v>
      </c>
      <c r="Q440" s="285"/>
    </row>
    <row r="441" spans="1:35" s="43" customFormat="1" ht="15.75" hidden="1" thickBot="1">
      <c r="A441" s="259" t="str">
        <f t="shared" si="73"/>
        <v/>
      </c>
      <c r="B441" s="52">
        <v>22</v>
      </c>
      <c r="C441" s="35" t="str">
        <f>IF(A466&gt;0,"- See Optional Braille type selected below","- Cast Braille Plates for Car Features")</f>
        <v>- Cast Braille Plates for Car Features</v>
      </c>
      <c r="D441" s="52" t="str">
        <f t="shared" si="76"/>
        <v>Included</v>
      </c>
      <c r="E441" s="77" t="str">
        <f t="shared" si="77"/>
        <v/>
      </c>
      <c r="F441" s="35"/>
      <c r="G441" s="258" t="str">
        <f t="shared" si="78"/>
        <v/>
      </c>
      <c r="J441" s="73"/>
      <c r="K441" s="285"/>
      <c r="L441" s="285"/>
      <c r="M441" s="223">
        <f t="shared" si="74"/>
        <v>108.65853658536584</v>
      </c>
      <c r="N441" s="223">
        <f t="shared" si="75"/>
        <v>54.329268292682919</v>
      </c>
      <c r="O441" s="43">
        <v>1.65</v>
      </c>
      <c r="P441" s="233">
        <f>IF($A$466&gt;0,0,8/0.82*($E$7+4+$E$8+2)*0.9/1.6)</f>
        <v>32.926829268292678</v>
      </c>
      <c r="Q441" s="285"/>
      <c r="AE441" s="73"/>
      <c r="AF441" s="73"/>
      <c r="AG441" s="73"/>
      <c r="AH441" s="73"/>
      <c r="AI441" s="73"/>
    </row>
    <row r="442" spans="1:35" s="43" customFormat="1" ht="30.75" hidden="1" thickBot="1">
      <c r="A442" s="259" t="str">
        <f t="shared" si="73"/>
        <v/>
      </c>
      <c r="B442" s="52">
        <v>22</v>
      </c>
      <c r="C442" s="287" t="s">
        <v>747</v>
      </c>
      <c r="D442" s="52" t="str">
        <f t="shared" si="76"/>
        <v>Included</v>
      </c>
      <c r="E442" s="77" t="str">
        <f t="shared" si="77"/>
        <v/>
      </c>
      <c r="F442" s="35"/>
      <c r="G442" s="258" t="str">
        <f t="shared" si="78"/>
        <v/>
      </c>
      <c r="J442" s="73"/>
      <c r="K442" s="285"/>
      <c r="L442" s="285"/>
      <c r="M442" s="223">
        <f t="shared" si="74"/>
        <v>189.33749999999998</v>
      </c>
      <c r="N442" s="223">
        <f t="shared" si="75"/>
        <v>94.668749999999989</v>
      </c>
      <c r="O442" s="43">
        <v>1.65</v>
      </c>
      <c r="P442" s="233">
        <f>102*0.9/1.6</f>
        <v>57.374999999999993</v>
      </c>
      <c r="Q442" s="285"/>
      <c r="S442" s="73"/>
      <c r="T442" s="73"/>
      <c r="U442" s="73"/>
      <c r="V442" s="73"/>
      <c r="W442" s="73"/>
      <c r="X442" s="73"/>
      <c r="Y442" s="73"/>
      <c r="Z442" s="73"/>
      <c r="AA442" s="73"/>
      <c r="AB442" s="73"/>
      <c r="AC442" s="73"/>
      <c r="AD442" s="73"/>
    </row>
    <row r="443" spans="1:35" s="43" customFormat="1" ht="15.75" hidden="1" thickBot="1">
      <c r="A443" s="259" t="str">
        <f t="shared" si="73"/>
        <v/>
      </c>
      <c r="B443" s="52">
        <v>22</v>
      </c>
      <c r="C443" s="231" t="s">
        <v>748</v>
      </c>
      <c r="D443" s="52" t="str">
        <f t="shared" si="76"/>
        <v>Included</v>
      </c>
      <c r="E443" s="77" t="str">
        <f t="shared" si="77"/>
        <v/>
      </c>
      <c r="F443" s="35"/>
      <c r="G443" s="258" t="str">
        <f t="shared" si="78"/>
        <v/>
      </c>
      <c r="J443" s="73"/>
      <c r="K443" s="285"/>
      <c r="L443" s="285"/>
      <c r="M443" s="223">
        <f t="shared" si="74"/>
        <v>0</v>
      </c>
      <c r="N443" s="223">
        <f t="shared" si="75"/>
        <v>0</v>
      </c>
      <c r="O443" s="43">
        <v>1.65</v>
      </c>
      <c r="P443" s="233">
        <v>0</v>
      </c>
      <c r="Q443" s="285"/>
      <c r="S443" s="73"/>
      <c r="T443" s="73"/>
      <c r="U443" s="73"/>
      <c r="V443" s="73"/>
      <c r="W443" s="73"/>
      <c r="X443" s="73"/>
      <c r="Y443" s="73"/>
      <c r="Z443" s="73"/>
      <c r="AA443" s="73"/>
      <c r="AB443" s="73"/>
      <c r="AC443" s="73"/>
      <c r="AD443" s="73"/>
    </row>
    <row r="444" spans="1:35" s="43" customFormat="1" ht="30.75" hidden="1" thickBot="1">
      <c r="A444" s="259" t="s">
        <v>863</v>
      </c>
      <c r="B444" s="52">
        <v>22</v>
      </c>
      <c r="C444" s="287" t="s">
        <v>749</v>
      </c>
      <c r="D444" s="52" t="str">
        <f t="shared" si="76"/>
        <v>Included</v>
      </c>
      <c r="E444" s="77" t="str">
        <f t="shared" si="77"/>
        <v/>
      </c>
      <c r="F444" s="35"/>
      <c r="G444" s="258" t="str">
        <f t="shared" si="78"/>
        <v/>
      </c>
      <c r="J444" s="73"/>
      <c r="K444" s="285"/>
      <c r="L444" s="285"/>
      <c r="M444" s="223">
        <f t="shared" si="74"/>
        <v>558.9375</v>
      </c>
      <c r="N444" s="223">
        <f t="shared" si="75"/>
        <v>279.46875</v>
      </c>
      <c r="O444" s="43">
        <v>1.65</v>
      </c>
      <c r="P444" s="233">
        <f>271/1.6</f>
        <v>169.375</v>
      </c>
      <c r="Q444" s="285"/>
    </row>
    <row r="445" spans="1:35" s="43" customFormat="1" ht="30.75" hidden="1" thickBot="1">
      <c r="A445" s="259" t="s">
        <v>863</v>
      </c>
      <c r="B445" s="52">
        <v>22</v>
      </c>
      <c r="C445" s="287" t="s">
        <v>750</v>
      </c>
      <c r="D445" s="52" t="str">
        <f t="shared" si="76"/>
        <v>Included</v>
      </c>
      <c r="E445" s="77" t="str">
        <f t="shared" si="77"/>
        <v/>
      </c>
      <c r="F445" s="35" t="s">
        <v>751</v>
      </c>
      <c r="G445" s="258" t="str">
        <f t="shared" si="78"/>
        <v/>
      </c>
      <c r="J445" s="73"/>
      <c r="K445" s="285"/>
      <c r="L445" s="285"/>
      <c r="M445" s="223">
        <f t="shared" si="74"/>
        <v>519.75</v>
      </c>
      <c r="N445" s="223">
        <f t="shared" si="75"/>
        <v>259.875</v>
      </c>
      <c r="O445" s="43">
        <v>1.65</v>
      </c>
      <c r="P445" s="233">
        <f>252/1.6</f>
        <v>157.5</v>
      </c>
      <c r="Q445" s="285"/>
    </row>
    <row r="446" spans="1:35" s="43" customFormat="1" ht="15.75" hidden="1" thickBot="1">
      <c r="A446" s="259" t="str">
        <f t="shared" ref="A446:A455" si="79">IF(ISBLANK($A$437),"","-")</f>
        <v/>
      </c>
      <c r="B446" s="52">
        <v>22</v>
      </c>
      <c r="C446" s="231" t="s">
        <v>752</v>
      </c>
      <c r="D446" s="52" t="str">
        <f t="shared" si="76"/>
        <v>Included</v>
      </c>
      <c r="E446" s="77" t="str">
        <f t="shared" si="77"/>
        <v/>
      </c>
      <c r="F446" s="35"/>
      <c r="G446" s="258" t="str">
        <f t="shared" si="78"/>
        <v/>
      </c>
      <c r="J446" s="73"/>
      <c r="K446" s="285"/>
      <c r="L446" s="285"/>
      <c r="M446" s="223">
        <f t="shared" si="74"/>
        <v>37.125</v>
      </c>
      <c r="N446" s="223">
        <f t="shared" si="75"/>
        <v>18.5625</v>
      </c>
      <c r="O446" s="43">
        <v>1.65</v>
      </c>
      <c r="P446" s="233">
        <f>18/1.6</f>
        <v>11.25</v>
      </c>
      <c r="Q446" s="285"/>
    </row>
    <row r="447" spans="1:35" s="43" customFormat="1" ht="30.75" hidden="1" thickBot="1">
      <c r="A447" s="259" t="str">
        <f t="shared" si="79"/>
        <v/>
      </c>
      <c r="B447" s="52">
        <v>22</v>
      </c>
      <c r="C447" s="193" t="str">
        <f>IF(OR(A479&gt;0,A480&gt;0,AND(A525&gt;0,C525="Digital Car Position Indicator (Transom mount)"),AND(A526&gt;0,C526="Digital Car Position Indicator (Transom mount)")),"- See Optional PI type selected below","- Digital Position Indicators with direction arrows (CE Electronics)")</f>
        <v>- Digital Position Indicators with direction arrows (CE Electronics)</v>
      </c>
      <c r="D447" s="52" t="str">
        <f t="shared" si="76"/>
        <v>Included</v>
      </c>
      <c r="E447" s="77" t="str">
        <f t="shared" si="77"/>
        <v/>
      </c>
      <c r="F447" s="35"/>
      <c r="G447" s="258" t="str">
        <f t="shared" si="78"/>
        <v/>
      </c>
      <c r="J447" s="73"/>
      <c r="K447" s="285"/>
      <c r="L447" s="285"/>
      <c r="M447" s="223">
        <f t="shared" si="74"/>
        <v>396</v>
      </c>
      <c r="N447" s="223">
        <f t="shared" si="75"/>
        <v>198</v>
      </c>
      <c r="O447" s="43">
        <v>1.65</v>
      </c>
      <c r="P447" s="233">
        <f>IF(OR($A$479&gt;0,$A$480&gt;0,AND($A$525&gt;0,$C$525="Digital Car Position Indicator (Transom mount)"),AND($A$526&gt;0,$C$526="Digital Car Position Indicator (Transom mount)")),0,192/1.6)</f>
        <v>120</v>
      </c>
      <c r="Q447" s="285"/>
    </row>
    <row r="448" spans="1:35" s="43" customFormat="1" ht="15.75" hidden="1" thickBot="1">
      <c r="A448" s="259" t="str">
        <f t="shared" si="79"/>
        <v/>
      </c>
      <c r="B448" s="52">
        <v>22</v>
      </c>
      <c r="C448" s="193" t="str">
        <f>IF(OR(A477&gt;0,A478&gt;0),"- See Optional Phone type selected below","- ADA Phone System integral with COP (Rath)")</f>
        <v>- ADA Phone System integral with COP (Rath)</v>
      </c>
      <c r="D448" s="52" t="str">
        <f t="shared" si="76"/>
        <v>Included</v>
      </c>
      <c r="E448" s="77" t="str">
        <f t="shared" si="77"/>
        <v/>
      </c>
      <c r="F448" s="35"/>
      <c r="G448" s="258" t="str">
        <f t="shared" si="78"/>
        <v/>
      </c>
      <c r="J448" s="73"/>
      <c r="K448" s="285"/>
      <c r="L448" s="285"/>
      <c r="M448" s="223">
        <f t="shared" si="74"/>
        <v>325.875</v>
      </c>
      <c r="N448" s="223">
        <f t="shared" si="75"/>
        <v>162.9375</v>
      </c>
      <c r="O448" s="43">
        <v>1.65</v>
      </c>
      <c r="P448" s="233">
        <f>IF(OR($A$477&gt;0,$A$478&gt;0),0,158/1.6)</f>
        <v>98.75</v>
      </c>
      <c r="Q448" s="285"/>
    </row>
    <row r="449" spans="1:30" s="43" customFormat="1" ht="15.75" hidden="1" thickBot="1">
      <c r="A449" s="259" t="str">
        <f t="shared" si="79"/>
        <v/>
      </c>
      <c r="B449" s="52">
        <v>22</v>
      </c>
      <c r="C449" s="231" t="s">
        <v>753</v>
      </c>
      <c r="D449" s="52" t="str">
        <f t="shared" si="76"/>
        <v>Included</v>
      </c>
      <c r="E449" s="77" t="str">
        <f t="shared" si="77"/>
        <v/>
      </c>
      <c r="F449" s="35"/>
      <c r="G449" s="258" t="str">
        <f t="shared" si="78"/>
        <v/>
      </c>
      <c r="J449" s="73"/>
      <c r="K449" s="285"/>
      <c r="L449" s="285"/>
      <c r="M449" s="223">
        <f t="shared" si="74"/>
        <v>232.03125</v>
      </c>
      <c r="N449" s="223">
        <f t="shared" si="75"/>
        <v>116.015625</v>
      </c>
      <c r="O449" s="43">
        <v>1.65</v>
      </c>
      <c r="P449" s="233">
        <f>125*0.9/1.6</f>
        <v>70.3125</v>
      </c>
      <c r="Q449" s="285"/>
    </row>
    <row r="450" spans="1:30" s="43" customFormat="1" ht="15.75" hidden="1" thickBot="1">
      <c r="A450" s="259" t="str">
        <f t="shared" si="79"/>
        <v/>
      </c>
      <c r="B450" s="52">
        <v>22</v>
      </c>
      <c r="C450" s="35" t="str">
        <f>IF(A482&gt;0,"- See Optional ''No Smoking'' type selected below","- No Smoking Symbol (Cast)")</f>
        <v>- No Smoking Symbol (Cast)</v>
      </c>
      <c r="D450" s="52" t="str">
        <f t="shared" si="76"/>
        <v>Included</v>
      </c>
      <c r="E450" s="77" t="str">
        <f t="shared" si="77"/>
        <v/>
      </c>
      <c r="F450" s="35"/>
      <c r="G450" s="258" t="str">
        <f t="shared" si="78"/>
        <v/>
      </c>
      <c r="J450" s="73"/>
      <c r="K450" s="285"/>
      <c r="L450" s="285"/>
      <c r="M450" s="223">
        <f t="shared" si="74"/>
        <v>40.837499999999999</v>
      </c>
      <c r="N450" s="223">
        <f t="shared" si="75"/>
        <v>20.418749999999999</v>
      </c>
      <c r="O450" s="43">
        <v>1.65</v>
      </c>
      <c r="P450" s="233">
        <f>IF($A$482&gt;0,0,22*0.9/1.6)</f>
        <v>12.375</v>
      </c>
      <c r="Q450" s="285"/>
    </row>
    <row r="451" spans="1:30" s="43" customFormat="1" ht="15.75" hidden="1" thickBot="1">
      <c r="A451" s="259" t="str">
        <f t="shared" si="79"/>
        <v/>
      </c>
      <c r="B451" s="52">
        <v>22</v>
      </c>
      <c r="C451" s="231" t="s">
        <v>754</v>
      </c>
      <c r="D451" s="52" t="str">
        <f t="shared" si="76"/>
        <v>Included</v>
      </c>
      <c r="E451" s="77" t="str">
        <f t="shared" si="77"/>
        <v/>
      </c>
      <c r="F451" s="35"/>
      <c r="G451" s="258" t="str">
        <f t="shared" si="78"/>
        <v/>
      </c>
      <c r="J451" s="73"/>
      <c r="K451" s="285"/>
      <c r="L451" s="285"/>
      <c r="M451" s="223">
        <f t="shared" si="74"/>
        <v>178.2</v>
      </c>
      <c r="N451" s="223">
        <f t="shared" si="75"/>
        <v>89.1</v>
      </c>
      <c r="O451" s="43">
        <v>1.65</v>
      </c>
      <c r="P451" s="233">
        <f>96*0.9/1.6</f>
        <v>54</v>
      </c>
      <c r="Q451" s="285"/>
    </row>
    <row r="452" spans="1:30" s="43" customFormat="1" ht="15.75" hidden="1" thickBot="1">
      <c r="A452" s="259" t="str">
        <f t="shared" si="79"/>
        <v/>
      </c>
      <c r="B452" s="52">
        <v>22</v>
      </c>
      <c r="C452" s="231" t="s">
        <v>755</v>
      </c>
      <c r="D452" s="52" t="str">
        <f t="shared" si="76"/>
        <v>Included</v>
      </c>
      <c r="E452" s="77" t="str">
        <f t="shared" si="77"/>
        <v/>
      </c>
      <c r="F452" s="35"/>
      <c r="G452" s="258" t="str">
        <f t="shared" si="78"/>
        <v/>
      </c>
      <c r="J452" s="73"/>
      <c r="K452" s="285"/>
      <c r="L452" s="285"/>
      <c r="M452" s="223">
        <f t="shared" si="74"/>
        <v>139.21875</v>
      </c>
      <c r="N452" s="223">
        <f t="shared" si="75"/>
        <v>69.609375</v>
      </c>
      <c r="O452" s="43">
        <v>1.65</v>
      </c>
      <c r="P452" s="233">
        <f>75*0.9/1.6</f>
        <v>42.1875</v>
      </c>
      <c r="Q452" s="285"/>
    </row>
    <row r="453" spans="1:30" s="43" customFormat="1" ht="15.75" hidden="1" thickBot="1">
      <c r="A453" s="259" t="str">
        <f t="shared" si="79"/>
        <v/>
      </c>
      <c r="B453" s="52">
        <v>22</v>
      </c>
      <c r="C453" s="231" t="s">
        <v>756</v>
      </c>
      <c r="D453" s="52" t="str">
        <f t="shared" si="76"/>
        <v>Included</v>
      </c>
      <c r="E453" s="77" t="str">
        <f t="shared" si="77"/>
        <v/>
      </c>
      <c r="F453" s="35"/>
      <c r="G453" s="258" t="str">
        <f t="shared" si="78"/>
        <v/>
      </c>
      <c r="J453" s="73"/>
      <c r="K453" s="285"/>
      <c r="L453" s="285"/>
      <c r="M453" s="223">
        <f t="shared" si="74"/>
        <v>103.125</v>
      </c>
      <c r="N453" s="223">
        <f t="shared" si="75"/>
        <v>51.5625</v>
      </c>
      <c r="O453" s="43">
        <v>1.65</v>
      </c>
      <c r="P453" s="233">
        <f>50/1.6</f>
        <v>31.25</v>
      </c>
      <c r="Q453" s="285"/>
    </row>
    <row r="454" spans="1:30" s="43" customFormat="1" ht="15.75" hidden="1" thickBot="1">
      <c r="A454" s="259" t="str">
        <f t="shared" si="79"/>
        <v/>
      </c>
      <c r="B454" s="52">
        <v>22</v>
      </c>
      <c r="C454" s="231" t="s">
        <v>757</v>
      </c>
      <c r="D454" s="52" t="str">
        <f t="shared" si="76"/>
        <v>Included</v>
      </c>
      <c r="E454" s="77" t="str">
        <f t="shared" si="77"/>
        <v/>
      </c>
      <c r="F454" s="35"/>
      <c r="G454" s="258" t="str">
        <f t="shared" si="78"/>
        <v/>
      </c>
      <c r="J454" s="73"/>
      <c r="K454" s="285"/>
      <c r="L454" s="285"/>
      <c r="M454" s="223">
        <f t="shared" si="74"/>
        <v>96.524999999999991</v>
      </c>
      <c r="N454" s="223">
        <f t="shared" si="75"/>
        <v>48.262499999999996</v>
      </c>
      <c r="O454" s="43">
        <v>1.65</v>
      </c>
      <c r="P454" s="233">
        <f>52*0.9/1.6</f>
        <v>29.25</v>
      </c>
      <c r="Q454" s="285"/>
    </row>
    <row r="455" spans="1:30" s="43" customFormat="1" ht="15.75" hidden="1" thickBot="1">
      <c r="A455" s="259" t="str">
        <f t="shared" si="79"/>
        <v/>
      </c>
      <c r="B455" s="52">
        <v>22</v>
      </c>
      <c r="C455" s="35" t="str">
        <f>IF(SUM(A488:A492)&gt;0,"- See Optional Finish type selected below","- #4 Stainless Steel Finish")</f>
        <v>- #4 Stainless Steel Finish</v>
      </c>
      <c r="D455" s="52" t="str">
        <f>IF(E455="","Included","")</f>
        <v>Included</v>
      </c>
      <c r="E455" s="77" t="str">
        <f>IF(AND(ISBLANK($A$494),A455&gt;0),G455,"")</f>
        <v/>
      </c>
      <c r="F455" s="35"/>
      <c r="G455" s="258" t="str">
        <f t="shared" si="78"/>
        <v/>
      </c>
      <c r="H455" s="242"/>
      <c r="J455" s="73"/>
      <c r="K455" s="285"/>
      <c r="L455" s="285"/>
      <c r="M455" s="223">
        <f>N455*2</f>
        <v>0</v>
      </c>
      <c r="N455" s="223">
        <f>P455*O455</f>
        <v>0</v>
      </c>
      <c r="O455" s="43">
        <v>1.65</v>
      </c>
      <c r="P455" s="233">
        <v>0</v>
      </c>
      <c r="Q455" s="285"/>
      <c r="S455" s="73"/>
      <c r="T455" s="73"/>
      <c r="U455" s="73"/>
      <c r="V455" s="73"/>
      <c r="W455" s="73"/>
      <c r="X455" s="73"/>
      <c r="Y455" s="73"/>
      <c r="Z455" s="73"/>
      <c r="AA455" s="73"/>
      <c r="AB455" s="73"/>
      <c r="AC455" s="73"/>
      <c r="AD455" s="73"/>
    </row>
    <row r="456" spans="1:30" s="43" customFormat="1" ht="15.75" hidden="1" thickBot="1">
      <c r="A456" s="263" t="str">
        <f>IF(AND($A$437&gt;0,SUM($A$457:$A$492)&gt;0),"-","")</f>
        <v/>
      </c>
      <c r="B456" s="52"/>
      <c r="C456" s="264" t="str">
        <f>IF(AND($A$437&gt;0,SUM($A$457:$A$492)&gt;0),"The following options have been included","")</f>
        <v/>
      </c>
      <c r="D456" s="52"/>
      <c r="E456" s="77"/>
      <c r="F456" s="288"/>
      <c r="G456" s="258"/>
      <c r="H456" s="242"/>
      <c r="J456" s="73"/>
      <c r="K456" s="285"/>
      <c r="L456" s="285"/>
      <c r="M456" s="285"/>
      <c r="N456" s="285"/>
      <c r="O456" s="285"/>
      <c r="P456" s="285"/>
      <c r="Q456" s="285"/>
    </row>
    <row r="457" spans="1:30" s="43" customFormat="1" ht="30.75" hidden="1" thickBot="1">
      <c r="A457" s="52"/>
      <c r="B457" s="52">
        <v>22</v>
      </c>
      <c r="C457" s="193" t="s">
        <v>758</v>
      </c>
      <c r="D457" s="52" t="str">
        <f>IF(E457="","Option Selctd.","")</f>
        <v>Option Selctd.</v>
      </c>
      <c r="E457" s="77" t="str">
        <f>IF(AND(ISBLANK($A$437),A457&gt;0),G457,"")</f>
        <v/>
      </c>
      <c r="F457" s="35"/>
      <c r="G457" s="258" t="str">
        <f>IF(ISBLANK(A457),"",(A457*M457*(1-$H$3)))</f>
        <v/>
      </c>
      <c r="J457" s="73"/>
      <c r="K457" s="285"/>
      <c r="L457" s="285"/>
      <c r="M457" s="223">
        <f>N457*2</f>
        <v>1059.9187499999998</v>
      </c>
      <c r="N457" s="223">
        <f>P457*O457</f>
        <v>529.95937499999991</v>
      </c>
      <c r="O457" s="43">
        <v>1.65</v>
      </c>
      <c r="P457" s="233">
        <f>571*0.9/1.6</f>
        <v>321.18749999999994</v>
      </c>
      <c r="Q457" s="285"/>
    </row>
    <row r="458" spans="1:30" s="43" customFormat="1" ht="30.75" hidden="1" thickBot="1">
      <c r="A458" s="52"/>
      <c r="B458" s="52">
        <v>22</v>
      </c>
      <c r="C458" s="193" t="s">
        <v>759</v>
      </c>
      <c r="D458" s="52" t="str">
        <f t="shared" ref="D458:D492" si="80">IF(E458="","Option Selctd.","")</f>
        <v>Option Selctd.</v>
      </c>
      <c r="E458" s="77" t="str">
        <f t="shared" ref="E458:E492" si="81">IF(AND(ISBLANK($A$437),A458&gt;0),G458,"")</f>
        <v/>
      </c>
      <c r="F458" s="35"/>
      <c r="G458" s="258" t="str">
        <f t="shared" ref="G458:G486" si="82">IF(ISBLANK(A458),"",(A458*M458*(1-$H$3)))</f>
        <v/>
      </c>
      <c r="J458" s="73"/>
      <c r="K458" s="285"/>
      <c r="L458" s="285"/>
      <c r="M458" s="223">
        <f t="shared" ref="M458:M486" si="83">N458*2</f>
        <v>1852.5374999999999</v>
      </c>
      <c r="N458" s="223">
        <f t="shared" ref="N458:N486" si="84">P458*O458</f>
        <v>926.26874999999995</v>
      </c>
      <c r="O458" s="43">
        <v>1.65</v>
      </c>
      <c r="P458" s="233">
        <f>998*0.9/1.6</f>
        <v>561.375</v>
      </c>
      <c r="Q458" s="285"/>
    </row>
    <row r="459" spans="1:30" s="43" customFormat="1" ht="15.75" hidden="1" thickBot="1">
      <c r="A459" s="52"/>
      <c r="B459" s="52">
        <v>22</v>
      </c>
      <c r="C459" s="35" t="s">
        <v>760</v>
      </c>
      <c r="D459" s="52" t="str">
        <f t="shared" si="80"/>
        <v>Option Selctd.</v>
      </c>
      <c r="E459" s="77" t="str">
        <f t="shared" si="81"/>
        <v/>
      </c>
      <c r="F459" s="35"/>
      <c r="G459" s="258" t="str">
        <f t="shared" si="82"/>
        <v/>
      </c>
      <c r="J459" s="73"/>
      <c r="K459" s="285"/>
      <c r="L459" s="285"/>
      <c r="M459" s="223">
        <f t="shared" si="83"/>
        <v>2062.5</v>
      </c>
      <c r="N459" s="223">
        <f t="shared" si="84"/>
        <v>1031.25</v>
      </c>
      <c r="O459" s="43">
        <v>1.65</v>
      </c>
      <c r="P459" s="233">
        <f>1000/1.6</f>
        <v>625</v>
      </c>
      <c r="Q459" s="285"/>
    </row>
    <row r="460" spans="1:30" s="43" customFormat="1" ht="15.75" hidden="1" thickBot="1">
      <c r="A460" s="52"/>
      <c r="B460" s="52">
        <v>22</v>
      </c>
      <c r="C460" s="35" t="s">
        <v>285</v>
      </c>
      <c r="D460" s="52" t="str">
        <f t="shared" si="80"/>
        <v>Option Selctd.</v>
      </c>
      <c r="E460" s="77" t="str">
        <f t="shared" si="81"/>
        <v/>
      </c>
      <c r="F460" s="35"/>
      <c r="G460" s="258" t="str">
        <f t="shared" si="82"/>
        <v/>
      </c>
      <c r="J460" s="73"/>
      <c r="K460" s="285"/>
      <c r="L460" s="285"/>
      <c r="M460" s="223">
        <f t="shared" si="83"/>
        <v>452.74390243902434</v>
      </c>
      <c r="N460" s="223">
        <f t="shared" si="84"/>
        <v>226.37195121951217</v>
      </c>
      <c r="O460" s="43">
        <v>1.65</v>
      </c>
      <c r="P460" s="233">
        <f>200/0.82*0.9/1.6</f>
        <v>137.19512195121951</v>
      </c>
      <c r="Q460" s="285"/>
    </row>
    <row r="461" spans="1:30" s="43" customFormat="1" ht="15.75" hidden="1" thickBot="1">
      <c r="A461" s="52"/>
      <c r="B461" s="52">
        <v>22</v>
      </c>
      <c r="C461" s="35" t="s">
        <v>761</v>
      </c>
      <c r="D461" s="52" t="str">
        <f t="shared" si="80"/>
        <v>Option Selctd.</v>
      </c>
      <c r="E461" s="77" t="str">
        <f t="shared" si="81"/>
        <v/>
      </c>
      <c r="F461" s="35"/>
      <c r="G461" s="258" t="str">
        <f t="shared" si="82"/>
        <v/>
      </c>
      <c r="J461" s="73"/>
      <c r="K461" s="139"/>
      <c r="L461" s="139"/>
      <c r="M461" s="223">
        <f t="shared" si="83"/>
        <v>204.1875</v>
      </c>
      <c r="N461" s="223">
        <f t="shared" si="84"/>
        <v>102.09375</v>
      </c>
      <c r="O461" s="43">
        <v>1.65</v>
      </c>
      <c r="P461" s="233">
        <f>110*0.9/1.6</f>
        <v>61.875</v>
      </c>
      <c r="Q461" s="139"/>
    </row>
    <row r="462" spans="1:30" s="43" customFormat="1" ht="15.75" hidden="1" thickBot="1">
      <c r="A462" s="52"/>
      <c r="B462" s="52">
        <v>22</v>
      </c>
      <c r="C462" s="35" t="s">
        <v>762</v>
      </c>
      <c r="D462" s="52" t="str">
        <f t="shared" si="80"/>
        <v>Option Selctd.</v>
      </c>
      <c r="E462" s="77" t="str">
        <f t="shared" si="81"/>
        <v/>
      </c>
      <c r="F462" s="35"/>
      <c r="G462" s="258" t="str">
        <f t="shared" si="82"/>
        <v/>
      </c>
      <c r="J462" s="73"/>
      <c r="K462" s="139"/>
      <c r="L462" s="139"/>
      <c r="M462" s="223">
        <f t="shared" si="83"/>
        <v>0</v>
      </c>
      <c r="N462" s="223">
        <f t="shared" si="84"/>
        <v>0</v>
      </c>
      <c r="O462" s="43">
        <v>1.65</v>
      </c>
      <c r="P462" s="233">
        <f>31*($E$7+$E$8)*0.9/1.6</f>
        <v>0</v>
      </c>
      <c r="Q462" s="139"/>
    </row>
    <row r="463" spans="1:30" s="43" customFormat="1" ht="15.75" hidden="1" thickBot="1">
      <c r="A463" s="52"/>
      <c r="B463" s="52">
        <v>22</v>
      </c>
      <c r="C463" s="35" t="s">
        <v>287</v>
      </c>
      <c r="D463" s="52" t="str">
        <f t="shared" si="80"/>
        <v>Option Selctd.</v>
      </c>
      <c r="E463" s="77" t="str">
        <f t="shared" si="81"/>
        <v/>
      </c>
      <c r="F463" s="35"/>
      <c r="G463" s="258" t="str">
        <f t="shared" si="82"/>
        <v/>
      </c>
      <c r="J463" s="73"/>
      <c r="K463" s="139"/>
      <c r="L463" s="139"/>
      <c r="M463" s="223">
        <f t="shared" si="83"/>
        <v>87.243749999999991</v>
      </c>
      <c r="N463" s="223">
        <f t="shared" si="84"/>
        <v>43.621874999999996</v>
      </c>
      <c r="O463" s="43">
        <v>1.65</v>
      </c>
      <c r="P463" s="233">
        <f>47*0.9/1.6</f>
        <v>26.4375</v>
      </c>
      <c r="Q463" s="139"/>
    </row>
    <row r="464" spans="1:30" s="43" customFormat="1" ht="15.75" hidden="1" thickBot="1">
      <c r="A464" s="52"/>
      <c r="B464" s="52">
        <v>22</v>
      </c>
      <c r="C464" s="35" t="s">
        <v>288</v>
      </c>
      <c r="D464" s="52" t="str">
        <f t="shared" si="80"/>
        <v>Option Selctd.</v>
      </c>
      <c r="E464" s="77" t="str">
        <f t="shared" si="81"/>
        <v/>
      </c>
      <c r="F464" s="35"/>
      <c r="G464" s="258" t="str">
        <f t="shared" si="82"/>
        <v/>
      </c>
      <c r="J464" s="73"/>
      <c r="K464" s="139"/>
      <c r="L464" s="139"/>
      <c r="M464" s="223">
        <f t="shared" si="83"/>
        <v>87.243749999999991</v>
      </c>
      <c r="N464" s="223">
        <f t="shared" si="84"/>
        <v>43.621874999999996</v>
      </c>
      <c r="O464" s="43">
        <v>1.65</v>
      </c>
      <c r="P464" s="233">
        <f>47*0.9/1.6</f>
        <v>26.4375</v>
      </c>
      <c r="Q464" s="139"/>
    </row>
    <row r="465" spans="1:17" s="43" customFormat="1" ht="15.75" hidden="1" thickBot="1">
      <c r="A465" s="52"/>
      <c r="B465" s="52">
        <v>22</v>
      </c>
      <c r="C465" s="35" t="s">
        <v>289</v>
      </c>
      <c r="D465" s="52" t="str">
        <f t="shared" si="80"/>
        <v>Option Selctd.</v>
      </c>
      <c r="E465" s="77" t="str">
        <f t="shared" si="81"/>
        <v/>
      </c>
      <c r="F465" s="35"/>
      <c r="G465" s="258" t="str">
        <f t="shared" si="82"/>
        <v/>
      </c>
      <c r="J465" s="73"/>
      <c r="K465" s="139"/>
      <c r="L465" s="139"/>
      <c r="M465" s="223">
        <f t="shared" si="83"/>
        <v>651.95121951219505</v>
      </c>
      <c r="N465" s="223">
        <f t="shared" si="84"/>
        <v>325.97560975609753</v>
      </c>
      <c r="O465" s="43">
        <v>1.65</v>
      </c>
      <c r="P465" s="233">
        <f>288/0.82*0.9/1.6</f>
        <v>197.5609756097561</v>
      </c>
      <c r="Q465" s="139"/>
    </row>
    <row r="466" spans="1:17" s="43" customFormat="1" ht="15.75" hidden="1" thickBot="1">
      <c r="A466" s="52"/>
      <c r="B466" s="52">
        <v>22</v>
      </c>
      <c r="C466" s="35" t="s">
        <v>290</v>
      </c>
      <c r="D466" s="52" t="str">
        <f t="shared" si="80"/>
        <v>Option Selctd.</v>
      </c>
      <c r="E466" s="77" t="str">
        <f t="shared" si="81"/>
        <v/>
      </c>
      <c r="F466" s="35"/>
      <c r="G466" s="258" t="str">
        <f t="shared" si="82"/>
        <v/>
      </c>
      <c r="J466" s="73"/>
      <c r="K466" s="139"/>
      <c r="L466" s="139"/>
      <c r="M466" s="223">
        <f t="shared" si="83"/>
        <v>81.493902439024382</v>
      </c>
      <c r="N466" s="223">
        <f t="shared" si="84"/>
        <v>40.746951219512191</v>
      </c>
      <c r="O466" s="43">
        <v>1.65</v>
      </c>
      <c r="P466" s="233">
        <f>6/0.82*($E$7+4+$E$8+2)*0.9/1.6</f>
        <v>24.695121951219512</v>
      </c>
      <c r="Q466" s="139"/>
    </row>
    <row r="467" spans="1:17" s="43" customFormat="1" ht="15.75" hidden="1" thickBot="1">
      <c r="A467" s="52"/>
      <c r="B467" s="52">
        <v>22</v>
      </c>
      <c r="C467" s="193" t="s">
        <v>292</v>
      </c>
      <c r="D467" s="52" t="str">
        <f t="shared" si="80"/>
        <v>Option Selctd.</v>
      </c>
      <c r="E467" s="77" t="str">
        <f t="shared" si="81"/>
        <v/>
      </c>
      <c r="F467" s="35"/>
      <c r="G467" s="258" t="str">
        <f t="shared" si="82"/>
        <v/>
      </c>
      <c r="J467" s="73"/>
      <c r="K467" s="139"/>
      <c r="L467" s="139"/>
      <c r="M467" s="223">
        <f t="shared" si="83"/>
        <v>59.4</v>
      </c>
      <c r="N467" s="223">
        <f t="shared" si="84"/>
        <v>29.7</v>
      </c>
      <c r="O467" s="43">
        <v>1.65</v>
      </c>
      <c r="P467" s="233">
        <f>32*0.9/1.6</f>
        <v>18</v>
      </c>
      <c r="Q467" s="139"/>
    </row>
    <row r="468" spans="1:17" s="43" customFormat="1" ht="15.75" hidden="1" thickBot="1">
      <c r="A468" s="52"/>
      <c r="B468" s="52">
        <v>22</v>
      </c>
      <c r="C468" s="193" t="s">
        <v>293</v>
      </c>
      <c r="D468" s="52" t="str">
        <f t="shared" si="80"/>
        <v>Option Selctd.</v>
      </c>
      <c r="E468" s="77" t="str">
        <f t="shared" si="81"/>
        <v/>
      </c>
      <c r="F468" s="35"/>
      <c r="G468" s="258" t="str">
        <f t="shared" si="82"/>
        <v/>
      </c>
      <c r="J468" s="73"/>
      <c r="K468" s="139"/>
      <c r="L468" s="139"/>
      <c r="M468" s="223">
        <f t="shared" si="83"/>
        <v>59.4</v>
      </c>
      <c r="N468" s="223">
        <f t="shared" si="84"/>
        <v>29.7</v>
      </c>
      <c r="O468" s="43">
        <v>1.65</v>
      </c>
      <c r="P468" s="233">
        <f>32*0.9/1.6</f>
        <v>18</v>
      </c>
      <c r="Q468" s="139"/>
    </row>
    <row r="469" spans="1:17" s="43" customFormat="1" ht="15.75" hidden="1" thickBot="1">
      <c r="A469" s="52"/>
      <c r="B469" s="52">
        <v>22</v>
      </c>
      <c r="C469" s="193" t="s">
        <v>293</v>
      </c>
      <c r="D469" s="52" t="str">
        <f t="shared" si="80"/>
        <v>Option Selctd.</v>
      </c>
      <c r="E469" s="77" t="str">
        <f t="shared" si="81"/>
        <v/>
      </c>
      <c r="F469" s="35"/>
      <c r="G469" s="258" t="str">
        <f t="shared" si="82"/>
        <v/>
      </c>
      <c r="J469" s="73"/>
      <c r="K469" s="139"/>
      <c r="L469" s="139"/>
      <c r="M469" s="223">
        <f t="shared" si="83"/>
        <v>59.4</v>
      </c>
      <c r="N469" s="223">
        <f t="shared" si="84"/>
        <v>29.7</v>
      </c>
      <c r="O469" s="43">
        <v>1.65</v>
      </c>
      <c r="P469" s="233">
        <f>32*0.9/1.6</f>
        <v>18</v>
      </c>
      <c r="Q469" s="139"/>
    </row>
    <row r="470" spans="1:17" s="43" customFormat="1" ht="15.75" hidden="1" thickBot="1">
      <c r="A470" s="52"/>
      <c r="B470" s="52">
        <v>22</v>
      </c>
      <c r="C470" s="193" t="s">
        <v>294</v>
      </c>
      <c r="D470" s="52" t="str">
        <f t="shared" si="80"/>
        <v>Option Selctd.</v>
      </c>
      <c r="E470" s="77" t="str">
        <f t="shared" si="81"/>
        <v/>
      </c>
      <c r="F470" s="35" t="s">
        <v>179</v>
      </c>
      <c r="G470" s="258" t="str">
        <f t="shared" si="82"/>
        <v/>
      </c>
      <c r="J470" s="73"/>
      <c r="K470" s="139"/>
      <c r="L470" s="139"/>
      <c r="M470" s="223">
        <f t="shared" si="83"/>
        <v>59.4</v>
      </c>
      <c r="N470" s="223">
        <f t="shared" si="84"/>
        <v>29.7</v>
      </c>
      <c r="O470" s="43">
        <v>1.65</v>
      </c>
      <c r="P470" s="233">
        <f>32*0.9/1.6</f>
        <v>18</v>
      </c>
      <c r="Q470" s="139"/>
    </row>
    <row r="471" spans="1:17" s="43" customFormat="1" ht="15.75" hidden="1" thickBot="1">
      <c r="A471" s="52"/>
      <c r="B471" s="52">
        <v>22</v>
      </c>
      <c r="C471" s="35" t="s">
        <v>295</v>
      </c>
      <c r="D471" s="52" t="str">
        <f t="shared" si="80"/>
        <v>Option Selctd.</v>
      </c>
      <c r="E471" s="77" t="str">
        <f t="shared" si="81"/>
        <v/>
      </c>
      <c r="F471" s="35"/>
      <c r="G471" s="258" t="str">
        <f t="shared" si="82"/>
        <v/>
      </c>
      <c r="J471" s="73"/>
      <c r="K471" s="139"/>
      <c r="L471" s="139"/>
      <c r="M471" s="223">
        <f t="shared" si="83"/>
        <v>302.56874999999997</v>
      </c>
      <c r="N471" s="223">
        <f t="shared" si="84"/>
        <v>151.28437499999998</v>
      </c>
      <c r="O471" s="43">
        <v>1.65</v>
      </c>
      <c r="P471" s="233">
        <f>163*0.9/1.6</f>
        <v>91.6875</v>
      </c>
      <c r="Q471" s="139"/>
    </row>
    <row r="472" spans="1:17" s="43" customFormat="1" ht="15.75" hidden="1" thickBot="1">
      <c r="A472" s="52"/>
      <c r="B472" s="52">
        <v>22</v>
      </c>
      <c r="C472" s="35" t="s">
        <v>763</v>
      </c>
      <c r="D472" s="52" t="str">
        <f t="shared" si="80"/>
        <v>Option Selctd.</v>
      </c>
      <c r="E472" s="77" t="str">
        <f t="shared" si="81"/>
        <v/>
      </c>
      <c r="F472" s="35"/>
      <c r="G472" s="258" t="str">
        <f t="shared" si="82"/>
        <v/>
      </c>
      <c r="J472" s="73"/>
      <c r="K472" s="139"/>
      <c r="L472" s="139"/>
      <c r="M472" s="223">
        <f t="shared" si="83"/>
        <v>59.4</v>
      </c>
      <c r="N472" s="223">
        <f t="shared" si="84"/>
        <v>29.7</v>
      </c>
      <c r="O472" s="43">
        <v>1.65</v>
      </c>
      <c r="P472" s="233">
        <f>32*0.9/1.6</f>
        <v>18</v>
      </c>
      <c r="Q472" s="139"/>
    </row>
    <row r="473" spans="1:17" s="43" customFormat="1" ht="15.75" hidden="1" thickBot="1">
      <c r="A473" s="52"/>
      <c r="B473" s="52">
        <v>22</v>
      </c>
      <c r="C473" s="35" t="s">
        <v>764</v>
      </c>
      <c r="D473" s="52" t="str">
        <f t="shared" si="80"/>
        <v>Option Selctd.</v>
      </c>
      <c r="E473" s="77" t="str">
        <f t="shared" si="81"/>
        <v/>
      </c>
      <c r="F473" s="35"/>
      <c r="G473" s="258" t="str">
        <f t="shared" si="82"/>
        <v/>
      </c>
      <c r="J473" s="73"/>
      <c r="K473" s="139"/>
      <c r="L473" s="139"/>
      <c r="M473" s="223">
        <f t="shared" si="83"/>
        <v>59.4</v>
      </c>
      <c r="N473" s="223">
        <f t="shared" si="84"/>
        <v>29.7</v>
      </c>
      <c r="O473" s="43">
        <v>1.65</v>
      </c>
      <c r="P473" s="233">
        <f>32*0.9/1.6</f>
        <v>18</v>
      </c>
      <c r="Q473" s="139"/>
    </row>
    <row r="474" spans="1:17" s="43" customFormat="1" ht="15.75" hidden="1" thickBot="1">
      <c r="A474" s="52"/>
      <c r="B474" s="52">
        <v>22</v>
      </c>
      <c r="C474" s="35" t="s">
        <v>296</v>
      </c>
      <c r="D474" s="52" t="str">
        <f t="shared" si="80"/>
        <v>Option Selctd.</v>
      </c>
      <c r="E474" s="77" t="str">
        <f t="shared" si="81"/>
        <v/>
      </c>
      <c r="F474" s="35"/>
      <c r="G474" s="258" t="str">
        <f t="shared" si="82"/>
        <v/>
      </c>
      <c r="J474" s="73"/>
      <c r="K474" s="139"/>
      <c r="L474" s="139"/>
      <c r="M474" s="223">
        <f t="shared" si="83"/>
        <v>24.131249999999998</v>
      </c>
      <c r="N474" s="223">
        <f t="shared" si="84"/>
        <v>12.065624999999999</v>
      </c>
      <c r="O474" s="43">
        <v>1.65</v>
      </c>
      <c r="P474" s="233">
        <f>13*0.9/1.6</f>
        <v>7.3125</v>
      </c>
      <c r="Q474" s="139"/>
    </row>
    <row r="475" spans="1:17" s="43" customFormat="1" ht="15.75" hidden="1" thickBot="1">
      <c r="A475" s="52"/>
      <c r="B475" s="52">
        <v>22</v>
      </c>
      <c r="C475" s="35" t="s">
        <v>297</v>
      </c>
      <c r="D475" s="52" t="str">
        <f t="shared" si="80"/>
        <v>Option Selctd.</v>
      </c>
      <c r="E475" s="77" t="str">
        <f t="shared" si="81"/>
        <v/>
      </c>
      <c r="F475" s="35"/>
      <c r="G475" s="258" t="str">
        <f t="shared" si="82"/>
        <v/>
      </c>
      <c r="J475" s="73"/>
      <c r="K475" s="139"/>
      <c r="L475" s="139"/>
      <c r="M475" s="223">
        <f t="shared" si="83"/>
        <v>211.61249999999998</v>
      </c>
      <c r="N475" s="223">
        <f t="shared" si="84"/>
        <v>105.80624999999999</v>
      </c>
      <c r="O475" s="43">
        <v>1.65</v>
      </c>
      <c r="P475" s="233">
        <f>114*0.9/1.6</f>
        <v>64.125</v>
      </c>
      <c r="Q475" s="139"/>
    </row>
    <row r="476" spans="1:17" s="43" customFormat="1" ht="15.75" hidden="1" thickBot="1">
      <c r="A476" s="52"/>
      <c r="B476" s="52">
        <v>22</v>
      </c>
      <c r="C476" s="193" t="s">
        <v>291</v>
      </c>
      <c r="D476" s="52" t="str">
        <f t="shared" si="80"/>
        <v>Option Selctd.</v>
      </c>
      <c r="E476" s="77" t="str">
        <f t="shared" si="81"/>
        <v/>
      </c>
      <c r="F476" s="35"/>
      <c r="G476" s="258" t="str">
        <f t="shared" si="82"/>
        <v/>
      </c>
      <c r="J476" s="73"/>
      <c r="K476" s="139"/>
      <c r="L476" s="139"/>
      <c r="M476" s="223">
        <f t="shared" si="83"/>
        <v>59.4</v>
      </c>
      <c r="N476" s="223">
        <f t="shared" si="84"/>
        <v>29.7</v>
      </c>
      <c r="O476" s="43">
        <v>1.65</v>
      </c>
      <c r="P476" s="233">
        <f>32*0.9/1.6</f>
        <v>18</v>
      </c>
      <c r="Q476" s="139"/>
    </row>
    <row r="477" spans="1:17" s="43" customFormat="1" ht="15.75" hidden="1" thickBot="1">
      <c r="A477" s="52"/>
      <c r="B477" s="52">
        <v>22</v>
      </c>
      <c r="C477" s="35" t="s">
        <v>298</v>
      </c>
      <c r="D477" s="52" t="str">
        <f t="shared" si="80"/>
        <v>Option Selctd.</v>
      </c>
      <c r="E477" s="77" t="str">
        <f t="shared" si="81"/>
        <v/>
      </c>
      <c r="F477" s="35"/>
      <c r="G477" s="258" t="str">
        <f t="shared" si="82"/>
        <v/>
      </c>
      <c r="K477" s="139"/>
      <c r="L477" s="139"/>
      <c r="M477" s="223">
        <f t="shared" si="83"/>
        <v>180.05624999999998</v>
      </c>
      <c r="N477" s="223">
        <f t="shared" si="84"/>
        <v>90.028124999999989</v>
      </c>
      <c r="O477" s="43">
        <v>1.65</v>
      </c>
      <c r="P477" s="233">
        <f>97*0.9/1.6</f>
        <v>54.562499999999993</v>
      </c>
      <c r="Q477" s="139"/>
    </row>
    <row r="478" spans="1:17" s="43" customFormat="1" ht="16.5" hidden="1" thickBot="1">
      <c r="A478" s="52"/>
      <c r="B478" s="52">
        <v>22</v>
      </c>
      <c r="C478" s="260" t="s">
        <v>765</v>
      </c>
      <c r="D478" s="52" t="str">
        <f t="shared" si="80"/>
        <v>Option Selctd.</v>
      </c>
      <c r="E478" s="77" t="str">
        <f t="shared" si="81"/>
        <v/>
      </c>
      <c r="F478" s="35"/>
      <c r="G478" s="258" t="str">
        <f t="shared" si="82"/>
        <v/>
      </c>
      <c r="J478" s="73"/>
      <c r="K478" s="139"/>
      <c r="L478" s="139"/>
      <c r="M478" s="223">
        <f t="shared" si="83"/>
        <v>1188</v>
      </c>
      <c r="N478" s="223">
        <f t="shared" si="84"/>
        <v>594</v>
      </c>
      <c r="O478" s="43">
        <v>1.65</v>
      </c>
      <c r="P478" s="251">
        <f>360</f>
        <v>360</v>
      </c>
      <c r="Q478" s="139"/>
    </row>
    <row r="479" spans="1:17" s="43" customFormat="1" ht="15.75" hidden="1" thickBot="1">
      <c r="A479" s="52"/>
      <c r="B479" s="52">
        <v>22</v>
      </c>
      <c r="C479" s="35" t="s">
        <v>299</v>
      </c>
      <c r="D479" s="52" t="str">
        <f t="shared" si="80"/>
        <v>Option Selctd.</v>
      </c>
      <c r="E479" s="77" t="str">
        <f t="shared" si="81"/>
        <v/>
      </c>
      <c r="F479" s="35"/>
      <c r="G479" s="258" t="str">
        <f t="shared" si="82"/>
        <v/>
      </c>
      <c r="J479" s="73"/>
      <c r="K479" s="139"/>
      <c r="L479" s="139"/>
      <c r="M479" s="223">
        <f t="shared" si="83"/>
        <v>83.53125</v>
      </c>
      <c r="N479" s="223">
        <f t="shared" si="84"/>
        <v>41.765625</v>
      </c>
      <c r="O479" s="43">
        <v>1.65</v>
      </c>
      <c r="P479" s="233">
        <f>45*0.9/1.6+(26*$E$5)*0.9/1.6</f>
        <v>25.3125</v>
      </c>
      <c r="Q479" s="139"/>
    </row>
    <row r="480" spans="1:17" s="43" customFormat="1" ht="15.75" hidden="1" thickBot="1">
      <c r="A480" s="52"/>
      <c r="B480" s="52">
        <v>22</v>
      </c>
      <c r="C480" s="35" t="s">
        <v>300</v>
      </c>
      <c r="D480" s="52" t="str">
        <f t="shared" si="80"/>
        <v>Option Selctd.</v>
      </c>
      <c r="E480" s="77" t="str">
        <f t="shared" si="81"/>
        <v/>
      </c>
      <c r="F480" s="35"/>
      <c r="G480" s="258" t="str">
        <f t="shared" si="82"/>
        <v/>
      </c>
      <c r="J480" s="73"/>
      <c r="K480" s="139"/>
      <c r="L480" s="139"/>
      <c r="M480" s="223">
        <f t="shared" si="83"/>
        <v>83.53125</v>
      </c>
      <c r="N480" s="223">
        <f t="shared" si="84"/>
        <v>41.765625</v>
      </c>
      <c r="O480" s="43">
        <v>1.65</v>
      </c>
      <c r="P480" s="233">
        <f>45*0.9/1.6+(56*$E$5)*0.9/1.6</f>
        <v>25.3125</v>
      </c>
      <c r="Q480" s="139"/>
    </row>
    <row r="481" spans="1:17" s="43" customFormat="1" ht="15.75" hidden="1" thickBot="1">
      <c r="A481" s="52"/>
      <c r="B481" s="52">
        <v>22</v>
      </c>
      <c r="C481" s="35" t="s">
        <v>301</v>
      </c>
      <c r="D481" s="52" t="str">
        <f t="shared" si="80"/>
        <v>Option Selctd.</v>
      </c>
      <c r="E481" s="77" t="str">
        <f t="shared" si="81"/>
        <v/>
      </c>
      <c r="F481" s="35"/>
      <c r="G481" s="258" t="str">
        <f t="shared" si="82"/>
        <v/>
      </c>
      <c r="J481" s="73"/>
      <c r="K481" s="139"/>
      <c r="L481" s="139"/>
      <c r="M481" s="223">
        <f t="shared" si="83"/>
        <v>165</v>
      </c>
      <c r="N481" s="223">
        <f t="shared" si="84"/>
        <v>82.5</v>
      </c>
      <c r="O481" s="43">
        <v>1.65</v>
      </c>
      <c r="P481" s="233">
        <f>80/1.6</f>
        <v>50</v>
      </c>
      <c r="Q481" s="139"/>
    </row>
    <row r="482" spans="1:17" s="43" customFormat="1" ht="15.75" hidden="1" thickBot="1">
      <c r="A482" s="52"/>
      <c r="B482" s="52">
        <v>22</v>
      </c>
      <c r="C482" s="35" t="s">
        <v>766</v>
      </c>
      <c r="D482" s="52" t="str">
        <f t="shared" si="80"/>
        <v>Option Selctd.</v>
      </c>
      <c r="E482" s="77" t="str">
        <f t="shared" si="81"/>
        <v/>
      </c>
      <c r="F482" s="35"/>
      <c r="G482" s="258" t="str">
        <f t="shared" si="82"/>
        <v/>
      </c>
      <c r="J482" s="73"/>
      <c r="K482" s="139"/>
      <c r="L482" s="139"/>
      <c r="M482" s="223">
        <f t="shared" si="83"/>
        <v>185.625</v>
      </c>
      <c r="N482" s="223">
        <f t="shared" si="84"/>
        <v>92.8125</v>
      </c>
      <c r="O482" s="43">
        <v>1.65</v>
      </c>
      <c r="P482" s="233">
        <f>IF(ISBLANK($A$437),100*0.9/1.6,100*0.9/1.6-$P$450)</f>
        <v>56.25</v>
      </c>
      <c r="Q482" s="139"/>
    </row>
    <row r="483" spans="1:17" s="43" customFormat="1" ht="15.75" hidden="1" thickBot="1">
      <c r="A483" s="52"/>
      <c r="B483" s="52">
        <v>22</v>
      </c>
      <c r="C483" s="35" t="s">
        <v>767</v>
      </c>
      <c r="D483" s="52" t="str">
        <f t="shared" si="80"/>
        <v>Option Selctd.</v>
      </c>
      <c r="E483" s="77" t="str">
        <f t="shared" si="81"/>
        <v/>
      </c>
      <c r="F483" s="35"/>
      <c r="G483" s="258" t="str">
        <f t="shared" si="82"/>
        <v/>
      </c>
      <c r="J483" s="73"/>
      <c r="K483" s="139"/>
      <c r="L483" s="139"/>
      <c r="M483" s="223">
        <f t="shared" si="83"/>
        <v>308.13749999999999</v>
      </c>
      <c r="N483" s="223">
        <f t="shared" si="84"/>
        <v>154.06874999999999</v>
      </c>
      <c r="O483" s="43">
        <v>1.65</v>
      </c>
      <c r="P483" s="233">
        <f>166*0.9/1.6</f>
        <v>93.375</v>
      </c>
      <c r="Q483" s="139"/>
    </row>
    <row r="484" spans="1:17" s="43" customFormat="1" ht="16.5" hidden="1" thickBot="1">
      <c r="A484" s="52"/>
      <c r="B484" s="52">
        <v>22</v>
      </c>
      <c r="C484" s="235" t="s">
        <v>768</v>
      </c>
      <c r="D484" s="52" t="str">
        <f>IF(E484="","Option Selctd.","")</f>
        <v>Option Selctd.</v>
      </c>
      <c r="E484" s="77" t="str">
        <f>IF(AND(ISBLANK($A$437),A484&gt;0),G484,"")</f>
        <v/>
      </c>
      <c r="F484" s="35"/>
      <c r="G484" s="258" t="str">
        <f>IF(ISBLANK(A484),"",(A484*M484*(1-$H$3)))</f>
        <v/>
      </c>
      <c r="J484" s="73"/>
      <c r="K484" s="139"/>
      <c r="L484" s="139"/>
      <c r="M484" s="223">
        <f>N484*2</f>
        <v>3900</v>
      </c>
      <c r="N484" s="223">
        <f>P484*O484</f>
        <v>1950</v>
      </c>
      <c r="O484" s="43">
        <v>2</v>
      </c>
      <c r="P484" s="251">
        <f>675+300</f>
        <v>975</v>
      </c>
      <c r="Q484" s="139"/>
    </row>
    <row r="485" spans="1:17" s="43" customFormat="1" ht="30.75" hidden="1" thickBot="1">
      <c r="A485" s="52"/>
      <c r="B485" s="52">
        <v>22</v>
      </c>
      <c r="C485" s="193" t="s">
        <v>769</v>
      </c>
      <c r="D485" s="52" t="str">
        <f t="shared" si="80"/>
        <v>Option Selctd.</v>
      </c>
      <c r="E485" s="77" t="str">
        <f t="shared" si="81"/>
        <v/>
      </c>
      <c r="F485" s="35"/>
      <c r="G485" s="258" t="str">
        <f t="shared" si="82"/>
        <v/>
      </c>
      <c r="J485" s="73"/>
      <c r="K485" s="139"/>
      <c r="L485" s="139"/>
      <c r="M485" s="223">
        <f t="shared" si="83"/>
        <v>835.3125</v>
      </c>
      <c r="N485" s="223">
        <f t="shared" si="84"/>
        <v>417.65625</v>
      </c>
      <c r="O485" s="43">
        <v>1.65</v>
      </c>
      <c r="P485" s="233">
        <f>450*0.9/1.6</f>
        <v>253.125</v>
      </c>
      <c r="Q485" s="139"/>
    </row>
    <row r="486" spans="1:17" s="43" customFormat="1" ht="45.75" hidden="1" thickBot="1">
      <c r="A486" s="52"/>
      <c r="B486" s="52">
        <v>22</v>
      </c>
      <c r="C486" s="193" t="s">
        <v>770</v>
      </c>
      <c r="D486" s="52" t="str">
        <f t="shared" si="80"/>
        <v>Option Selctd.</v>
      </c>
      <c r="E486" s="77" t="str">
        <f t="shared" si="81"/>
        <v/>
      </c>
      <c r="F486" s="35"/>
      <c r="G486" s="258" t="str">
        <f t="shared" si="82"/>
        <v/>
      </c>
      <c r="J486" s="73"/>
      <c r="K486" s="139"/>
      <c r="L486" s="139"/>
      <c r="M486" s="223">
        <f t="shared" si="83"/>
        <v>1206.5625</v>
      </c>
      <c r="N486" s="223">
        <f t="shared" si="84"/>
        <v>603.28125</v>
      </c>
      <c r="O486" s="43">
        <v>1.65</v>
      </c>
      <c r="P486" s="233">
        <f>650*0.9/1.6</f>
        <v>365.625</v>
      </c>
      <c r="Q486" s="139"/>
    </row>
    <row r="487" spans="1:17" s="43" customFormat="1" ht="15.75" hidden="1" thickBot="1">
      <c r="A487" s="52"/>
      <c r="B487" s="52"/>
      <c r="C487" s="35"/>
      <c r="D487" s="74"/>
      <c r="E487" s="77" t="str">
        <f t="shared" si="81"/>
        <v/>
      </c>
      <c r="F487" s="289"/>
      <c r="H487" s="242"/>
      <c r="K487" s="139"/>
      <c r="L487" s="139"/>
      <c r="M487" s="139"/>
      <c r="N487" s="139"/>
      <c r="O487" s="139"/>
      <c r="P487" s="139"/>
      <c r="Q487" s="139"/>
    </row>
    <row r="488" spans="1:17" s="43" customFormat="1" ht="15.75" hidden="1" thickBot="1">
      <c r="A488" s="52"/>
      <c r="B488" s="52">
        <v>22</v>
      </c>
      <c r="C488" s="35" t="s">
        <v>303</v>
      </c>
      <c r="D488" s="52" t="str">
        <f t="shared" si="80"/>
        <v>Option Selctd.</v>
      </c>
      <c r="E488" s="77" t="str">
        <f t="shared" si="81"/>
        <v/>
      </c>
      <c r="F488" s="35"/>
      <c r="G488" s="256" t="str">
        <f>IF(ISBLANK(A488),"",(A488*H488*0.3))</f>
        <v/>
      </c>
      <c r="H488" s="82">
        <f>SUM($G$437:$G$438)+SUM($G$457:$G$461)</f>
        <v>0</v>
      </c>
      <c r="J488" s="73"/>
      <c r="K488" s="139"/>
      <c r="L488" s="139"/>
      <c r="M488" s="139"/>
      <c r="N488" s="139"/>
      <c r="O488" s="139"/>
      <c r="P488" s="139"/>
      <c r="Q488" s="139"/>
    </row>
    <row r="489" spans="1:17" s="43" customFormat="1" ht="16.5" hidden="1" thickBot="1">
      <c r="A489" s="52"/>
      <c r="B489" s="52">
        <v>22</v>
      </c>
      <c r="C489" s="35" t="s">
        <v>771</v>
      </c>
      <c r="D489" s="52" t="str">
        <f>IF(E489="","Option Selctd.","")</f>
        <v>Option Selctd.</v>
      </c>
      <c r="E489" s="77" t="str">
        <f>IF(AND(ISBLANK($A$437),A489&gt;0),G489,"")</f>
        <v/>
      </c>
      <c r="F489" s="35"/>
      <c r="G489" s="256" t="str">
        <f>IF(ISBLANK(A489),"",(A489*H489*0.48))</f>
        <v/>
      </c>
      <c r="H489" s="82">
        <f>SUM($G$437:$G$438)+SUM($G$457:$G$461)</f>
        <v>0</v>
      </c>
      <c r="J489" s="73"/>
      <c r="K489" s="139"/>
      <c r="L489" s="139"/>
      <c r="M489" s="139"/>
      <c r="N489" s="139"/>
      <c r="O489" s="139"/>
      <c r="P489" s="139"/>
      <c r="Q489" s="139"/>
    </row>
    <row r="490" spans="1:17" s="43" customFormat="1" ht="15.75" hidden="1" thickBot="1">
      <c r="A490" s="52"/>
      <c r="B490" s="52">
        <v>22</v>
      </c>
      <c r="C490" s="35" t="s">
        <v>304</v>
      </c>
      <c r="D490" s="52" t="str">
        <f t="shared" si="80"/>
        <v>Option Selctd.</v>
      </c>
      <c r="E490" s="77" t="str">
        <f t="shared" si="81"/>
        <v/>
      </c>
      <c r="F490" s="35"/>
      <c r="G490" s="256" t="str">
        <f>IF(ISBLANK(A490),"",(A490*H490*0.3))</f>
        <v/>
      </c>
      <c r="H490" s="82">
        <f>SUM($G$437:$G$438)+SUM($G$457:$G$461)</f>
        <v>0</v>
      </c>
      <c r="J490" s="73"/>
      <c r="K490" s="139"/>
      <c r="L490" s="139"/>
      <c r="M490" s="139"/>
      <c r="N490" s="139"/>
      <c r="O490" s="139"/>
      <c r="P490" s="139"/>
      <c r="Q490" s="139"/>
    </row>
    <row r="491" spans="1:17" s="43" customFormat="1" ht="15.75" hidden="1" thickBot="1">
      <c r="A491" s="52"/>
      <c r="B491" s="52">
        <v>22</v>
      </c>
      <c r="C491" s="35" t="s">
        <v>305</v>
      </c>
      <c r="D491" s="52" t="str">
        <f>IF(E491="","Option Selctd.","")</f>
        <v>Option Selctd.</v>
      </c>
      <c r="E491" s="77" t="str">
        <f>IF(AND(ISBLANK($A$437),A491&gt;0),G491,"")</f>
        <v/>
      </c>
      <c r="F491" s="35"/>
      <c r="G491" s="256" t="str">
        <f>IF(ISBLANK(A491),"",(A491*H491*0.4))</f>
        <v/>
      </c>
      <c r="H491" s="82">
        <f>SUM($G$437:$G$438)+SUM($G$457:$G$461)</f>
        <v>0</v>
      </c>
      <c r="J491" s="73"/>
      <c r="K491" s="139"/>
      <c r="L491" s="139"/>
      <c r="M491" s="139"/>
      <c r="N491" s="139"/>
      <c r="O491" s="139"/>
      <c r="P491" s="139"/>
      <c r="Q491" s="139"/>
    </row>
    <row r="492" spans="1:17" s="43" customFormat="1" ht="16.5" hidden="1" thickBot="1">
      <c r="A492" s="52"/>
      <c r="B492" s="52">
        <v>22</v>
      </c>
      <c r="C492" s="35" t="s">
        <v>772</v>
      </c>
      <c r="D492" s="52" t="str">
        <f t="shared" si="80"/>
        <v>Option Selctd.</v>
      </c>
      <c r="E492" s="77" t="str">
        <f t="shared" si="81"/>
        <v/>
      </c>
      <c r="F492" s="35"/>
      <c r="G492" s="256" t="str">
        <f>IF(ISBLANK(A492),"",(A492*H492*0.6))</f>
        <v/>
      </c>
      <c r="H492" s="82">
        <f>SUM($G$437:$G$438)+SUM($G$457:$G$461)</f>
        <v>0</v>
      </c>
      <c r="J492" s="73"/>
      <c r="K492" s="139"/>
      <c r="L492" s="139"/>
      <c r="M492" s="139"/>
      <c r="N492" s="139"/>
      <c r="O492" s="139"/>
      <c r="P492" s="139"/>
      <c r="Q492" s="139"/>
    </row>
    <row r="493" spans="1:17" s="43" customFormat="1" ht="15.75" hidden="1" thickBot="1">
      <c r="A493" s="263" t="str">
        <f>A495</f>
        <v/>
      </c>
      <c r="B493" s="52"/>
      <c r="C493" s="35"/>
      <c r="D493" s="52"/>
      <c r="E493" s="79"/>
      <c r="F493" s="35"/>
      <c r="G493" s="258"/>
      <c r="H493" s="82"/>
      <c r="J493" s="73"/>
      <c r="K493" s="139"/>
      <c r="L493" s="139"/>
      <c r="M493" s="139"/>
      <c r="N493" s="139"/>
      <c r="O493" s="139"/>
      <c r="P493" s="139"/>
      <c r="Q493" s="139"/>
    </row>
    <row r="494" spans="1:17" s="43" customFormat="1" ht="16.5" hidden="1" thickBot="1">
      <c r="A494" s="52"/>
      <c r="B494" s="52">
        <v>22</v>
      </c>
      <c r="C494" s="235" t="s">
        <v>306</v>
      </c>
      <c r="D494" s="52"/>
      <c r="E494" s="83" t="str">
        <f>IF(ISBLANK(A494),"",(SUM(G494:G522)))</f>
        <v/>
      </c>
      <c r="F494" s="35"/>
      <c r="G494" s="258" t="str">
        <f>IF(ISBLANK(A494),"",(A494*M494*(1-$H$3)))</f>
        <v/>
      </c>
      <c r="J494" s="73"/>
      <c r="K494" s="139"/>
      <c r="L494" s="139"/>
      <c r="M494" s="223">
        <f>N494*2</f>
        <v>495</v>
      </c>
      <c r="N494" s="223">
        <f>P494*O494</f>
        <v>247.5</v>
      </c>
      <c r="O494" s="43">
        <v>1.65</v>
      </c>
      <c r="P494" s="251">
        <v>150</v>
      </c>
      <c r="Q494" s="139"/>
    </row>
    <row r="495" spans="1:17" s="43" customFormat="1" ht="15.75" hidden="1" thickBot="1">
      <c r="A495" s="259" t="str">
        <f>IF(ISBLANK(A494),"","-")</f>
        <v/>
      </c>
      <c r="B495" s="52">
        <v>22</v>
      </c>
      <c r="C495" s="35" t="str">
        <f>IF(OR(A503&gt;0,A504&gt;0,A505&gt;0),"- See Optional Panel type selected below","- Applied Panel")</f>
        <v>- Applied Panel</v>
      </c>
      <c r="D495" s="52" t="str">
        <f t="shared" ref="D495:D501" si="85">IF(E495="","Included","")</f>
        <v>Included</v>
      </c>
      <c r="E495" s="77" t="str">
        <f t="shared" ref="E495:E501" si="86">IF(AND(ISBLANK($A$494),A495&gt;0),G495,"")</f>
        <v/>
      </c>
      <c r="F495" s="35"/>
      <c r="G495" s="258" t="str">
        <f>IF(A495="","",(M495*(1-$H$3)))</f>
        <v/>
      </c>
      <c r="J495" s="73"/>
      <c r="K495" s="139"/>
      <c r="L495" s="139"/>
      <c r="M495" s="223">
        <f t="shared" ref="M495:M500" si="87">N495*2</f>
        <v>909.5625</v>
      </c>
      <c r="N495" s="223">
        <f t="shared" ref="N495:N500" si="88">P495*O495</f>
        <v>454.78125</v>
      </c>
      <c r="O495" s="43">
        <v>1.65</v>
      </c>
      <c r="P495" s="233">
        <f>IF(OR($A$503&gt;0,$A$504&gt;0,$A$505&gt;0),0,490*0.9/1.6)</f>
        <v>275.625</v>
      </c>
      <c r="Q495" s="139"/>
    </row>
    <row r="496" spans="1:17" s="43" customFormat="1" ht="15.75" hidden="1" thickBot="1">
      <c r="A496" s="259" t="str">
        <f t="shared" ref="A496:A501" si="89">A495</f>
        <v/>
      </c>
      <c r="B496" s="52">
        <v>22</v>
      </c>
      <c r="C496" s="35" t="str">
        <f>IF(OR(A508&gt;0,A516&gt;0),"- See Optional Button/COP type selected below","- Vandal Resistant Floor Buttons(V2,V7,V10,V6,V8,V9)")</f>
        <v>- Vandal Resistant Floor Buttons(V2,V7,V10,V6,V8,V9)</v>
      </c>
      <c r="D496" s="52" t="str">
        <f t="shared" si="85"/>
        <v>Included</v>
      </c>
      <c r="E496" s="77" t="str">
        <f t="shared" si="86"/>
        <v/>
      </c>
      <c r="F496" s="35"/>
      <c r="G496" s="258" t="str">
        <f t="shared" ref="G496:G501" si="90">IF(A496="","",(M496*(1-$H$3)))</f>
        <v/>
      </c>
      <c r="J496" s="73"/>
      <c r="K496" s="139"/>
      <c r="L496" s="139"/>
      <c r="M496" s="223">
        <f t="shared" si="87"/>
        <v>0</v>
      </c>
      <c r="N496" s="223">
        <f t="shared" si="88"/>
        <v>0</v>
      </c>
      <c r="O496" s="43">
        <v>1.65</v>
      </c>
      <c r="P496" s="233">
        <f>IF(OR(A508&gt;0,A516&gt;0),0,40*($E$7+$E$8)*0.9/1.6)</f>
        <v>0</v>
      </c>
      <c r="Q496" s="139"/>
    </row>
    <row r="497" spans="1:17" s="43" customFormat="1" ht="15.75" hidden="1" thickBot="1">
      <c r="A497" s="259" t="str">
        <f t="shared" si="89"/>
        <v/>
      </c>
      <c r="B497" s="52">
        <v>22</v>
      </c>
      <c r="C497" s="231" t="s">
        <v>746</v>
      </c>
      <c r="D497" s="52" t="str">
        <f t="shared" si="85"/>
        <v>Included</v>
      </c>
      <c r="E497" s="77" t="str">
        <f t="shared" si="86"/>
        <v/>
      </c>
      <c r="F497" s="35"/>
      <c r="G497" s="258" t="str">
        <f t="shared" si="90"/>
        <v/>
      </c>
      <c r="J497" s="73"/>
      <c r="K497" s="139"/>
      <c r="L497" s="139"/>
      <c r="M497" s="223">
        <f t="shared" si="87"/>
        <v>46.40625</v>
      </c>
      <c r="N497" s="223">
        <f t="shared" si="88"/>
        <v>23.203125</v>
      </c>
      <c r="O497" s="43">
        <v>1.65</v>
      </c>
      <c r="P497" s="233">
        <f>25*0.9/1.6</f>
        <v>14.0625</v>
      </c>
      <c r="Q497" s="139"/>
    </row>
    <row r="498" spans="1:17" s="43" customFormat="1" ht="15.75" hidden="1" thickBot="1">
      <c r="A498" s="259" t="str">
        <f t="shared" si="89"/>
        <v/>
      </c>
      <c r="B498" s="52">
        <v>22</v>
      </c>
      <c r="C498" s="35" t="str">
        <f>IF(A510&gt;0,"- See Optional Braille type selected below","- Cast Braille Plates for Car Features")</f>
        <v>- Cast Braille Plates for Car Features</v>
      </c>
      <c r="D498" s="52" t="str">
        <f t="shared" si="85"/>
        <v>Included</v>
      </c>
      <c r="E498" s="77" t="str">
        <f t="shared" si="86"/>
        <v/>
      </c>
      <c r="F498" s="35"/>
      <c r="G498" s="258" t="str">
        <f t="shared" si="90"/>
        <v/>
      </c>
      <c r="J498" s="73"/>
      <c r="K498" s="139"/>
      <c r="L498" s="139"/>
      <c r="M498" s="223">
        <f t="shared" si="87"/>
        <v>108.65853658536584</v>
      </c>
      <c r="N498" s="223">
        <f t="shared" si="88"/>
        <v>54.329268292682919</v>
      </c>
      <c r="O498" s="43">
        <v>1.65</v>
      </c>
      <c r="P498" s="233">
        <f>IF($A$510&gt;0,0,8/0.82*($E$7+4+$E$8+2)*0.9/1.6)</f>
        <v>32.926829268292678</v>
      </c>
      <c r="Q498" s="139"/>
    </row>
    <row r="499" spans="1:17" s="43" customFormat="1" ht="15.75" hidden="1" thickBot="1">
      <c r="A499" s="259" t="str">
        <f t="shared" si="89"/>
        <v/>
      </c>
      <c r="B499" s="52">
        <v>22</v>
      </c>
      <c r="C499" s="231" t="s">
        <v>748</v>
      </c>
      <c r="D499" s="52" t="str">
        <f t="shared" si="85"/>
        <v>Included</v>
      </c>
      <c r="E499" s="77" t="str">
        <f t="shared" si="86"/>
        <v/>
      </c>
      <c r="F499" s="35"/>
      <c r="G499" s="258" t="str">
        <f t="shared" si="90"/>
        <v/>
      </c>
      <c r="J499" s="73"/>
      <c r="K499" s="139"/>
      <c r="L499" s="139"/>
      <c r="M499" s="223">
        <f t="shared" si="87"/>
        <v>0</v>
      </c>
      <c r="N499" s="223">
        <f t="shared" si="88"/>
        <v>0</v>
      </c>
      <c r="O499" s="43">
        <v>1.65</v>
      </c>
      <c r="P499" s="233">
        <v>0</v>
      </c>
      <c r="Q499" s="139"/>
    </row>
    <row r="500" spans="1:17" s="43" customFormat="1" ht="30.75" hidden="1" thickBot="1">
      <c r="A500" s="259" t="str">
        <f t="shared" si="89"/>
        <v/>
      </c>
      <c r="B500" s="52">
        <v>22</v>
      </c>
      <c r="C500" s="193" t="str">
        <f>IF(OR(A513&gt;0,A514&gt;0,AND(A525&gt;0,C525="Digital Car Position Indicator (Transom mount)"),AND(A526&gt;0,C526="Digital Car Position Indicator (Transom mount)")),"- See Optional PI type selected below","- Digital Position Indicators with direction arrows (CE Electronics)")</f>
        <v>- Digital Position Indicators with direction arrows (CE Electronics)</v>
      </c>
      <c r="D500" s="52" t="str">
        <f t="shared" si="85"/>
        <v>Included</v>
      </c>
      <c r="E500" s="77" t="str">
        <f t="shared" si="86"/>
        <v/>
      </c>
      <c r="F500" s="35"/>
      <c r="G500" s="258" t="str">
        <f t="shared" si="90"/>
        <v/>
      </c>
      <c r="J500" s="73"/>
      <c r="K500" s="139"/>
      <c r="L500" s="139"/>
      <c r="M500" s="223">
        <f t="shared" si="87"/>
        <v>396</v>
      </c>
      <c r="N500" s="223">
        <f t="shared" si="88"/>
        <v>198</v>
      </c>
      <c r="O500" s="43">
        <v>1.65</v>
      </c>
      <c r="P500" s="233">
        <f>IF(OR($A$513&gt;0,$A$514&gt;0,AND($A$525&gt;0,$C$525="Digital Car Position Indicator (Transom mount)"),AND($A$526&gt;0,$C$526="Digital Car Position Indicator (Transom mount)")),0,192/1.6)</f>
        <v>120</v>
      </c>
      <c r="Q500" s="139"/>
    </row>
    <row r="501" spans="1:17" s="43" customFormat="1" ht="15.75" hidden="1" thickBot="1">
      <c r="A501" s="259" t="str">
        <f t="shared" si="89"/>
        <v/>
      </c>
      <c r="B501" s="52">
        <v>22</v>
      </c>
      <c r="C501" s="35" t="str">
        <f>IF(SUM(A518:A522)&gt;0,"- See Optional Finish type selected below","- #4 Stainless Steel Finish")</f>
        <v>- #4 Stainless Steel Finish</v>
      </c>
      <c r="D501" s="52" t="str">
        <f t="shared" si="85"/>
        <v>Included</v>
      </c>
      <c r="E501" s="77" t="str">
        <f t="shared" si="86"/>
        <v/>
      </c>
      <c r="F501" s="35"/>
      <c r="G501" s="258" t="str">
        <f t="shared" si="90"/>
        <v/>
      </c>
      <c r="H501" s="242"/>
      <c r="J501" s="73"/>
      <c r="K501" s="139"/>
      <c r="L501" s="139"/>
      <c r="M501" s="223">
        <f>N501*2</f>
        <v>0</v>
      </c>
      <c r="N501" s="223">
        <f>P501*O501</f>
        <v>0</v>
      </c>
      <c r="O501" s="43">
        <v>1.65</v>
      </c>
      <c r="P501" s="233">
        <v>0</v>
      </c>
      <c r="Q501" s="139"/>
    </row>
    <row r="502" spans="1:17" s="43" customFormat="1" ht="15.75" hidden="1" thickBot="1">
      <c r="A502" s="263" t="str">
        <f>IF(AND($A$494&gt;0,SUM(A503:A516)&gt;0),"-","")</f>
        <v/>
      </c>
      <c r="B502" s="52"/>
      <c r="C502" s="264" t="str">
        <f>IF(AND($A$494&gt;0,SUM(A503:A516)&gt;0),"The following options have been included","")</f>
        <v/>
      </c>
      <c r="D502" s="52"/>
      <c r="E502" s="73"/>
      <c r="F502" s="35"/>
      <c r="J502" s="73"/>
      <c r="K502" s="139"/>
      <c r="L502" s="139"/>
      <c r="M502" s="139"/>
      <c r="N502" s="139"/>
      <c r="O502" s="139"/>
      <c r="P502" s="139"/>
      <c r="Q502" s="139"/>
    </row>
    <row r="503" spans="1:17" s="43" customFormat="1" ht="15.75" hidden="1" thickBot="1">
      <c r="A503" s="52"/>
      <c r="B503" s="52">
        <v>22</v>
      </c>
      <c r="C503" s="35" t="s">
        <v>284</v>
      </c>
      <c r="D503" s="52" t="str">
        <f>IF(E503="","Option Selctd.","")</f>
        <v>Option Selctd.</v>
      </c>
      <c r="E503" s="77" t="str">
        <f>IF(AND(ISBLANK($A$494),A503&gt;0),G503,"")</f>
        <v/>
      </c>
      <c r="F503" s="35"/>
      <c r="G503" s="258" t="str">
        <f t="shared" ref="G503:G516" si="91">IF(ISBLANK(A503),"",(A503*M503*(1-$H$3)))</f>
        <v/>
      </c>
      <c r="J503" s="73"/>
      <c r="K503" s="139"/>
      <c r="L503" s="139"/>
      <c r="M503" s="223">
        <f>N503*2</f>
        <v>1059.9187499999998</v>
      </c>
      <c r="N503" s="223">
        <f>P503*O503</f>
        <v>529.95937499999991</v>
      </c>
      <c r="O503" s="43">
        <v>1.65</v>
      </c>
      <c r="P503" s="233">
        <f>571*0.9/1.6</f>
        <v>321.18749999999994</v>
      </c>
      <c r="Q503" s="139"/>
    </row>
    <row r="504" spans="1:17" s="43" customFormat="1" ht="15.75" hidden="1" thickBot="1">
      <c r="A504" s="52"/>
      <c r="B504" s="52">
        <v>22</v>
      </c>
      <c r="C504" s="35" t="s">
        <v>307</v>
      </c>
      <c r="D504" s="52" t="str">
        <f t="shared" ref="D504:D522" si="92">IF(E504="","Option Selctd.","")</f>
        <v>Option Selctd.</v>
      </c>
      <c r="E504" s="77" t="str">
        <f t="shared" ref="E504:E522" si="93">IF(AND(ISBLANK($A$494),A504&gt;0),G504,"")</f>
        <v/>
      </c>
      <c r="F504" s="35"/>
      <c r="G504" s="258" t="str">
        <f t="shared" si="91"/>
        <v/>
      </c>
      <c r="J504" s="73"/>
      <c r="K504" s="139"/>
      <c r="L504" s="139"/>
      <c r="M504" s="223">
        <f t="shared" ref="M504:M516" si="94">N504*2</f>
        <v>1852.5374999999999</v>
      </c>
      <c r="N504" s="223">
        <f t="shared" ref="N504:N516" si="95">P504*O504</f>
        <v>926.26874999999995</v>
      </c>
      <c r="O504" s="43">
        <v>1.65</v>
      </c>
      <c r="P504" s="233">
        <f>998*0.9/1.6</f>
        <v>561.375</v>
      </c>
      <c r="Q504" s="139"/>
    </row>
    <row r="505" spans="1:17" s="43" customFormat="1" ht="15.75" hidden="1" thickBot="1">
      <c r="A505" s="52"/>
      <c r="B505" s="52">
        <v>22</v>
      </c>
      <c r="C505" s="35" t="s">
        <v>773</v>
      </c>
      <c r="D505" s="52" t="str">
        <f t="shared" si="92"/>
        <v>Option Selctd.</v>
      </c>
      <c r="E505" s="77" t="str">
        <f t="shared" si="93"/>
        <v/>
      </c>
      <c r="F505" s="35"/>
      <c r="G505" s="258" t="str">
        <f t="shared" si="91"/>
        <v/>
      </c>
      <c r="J505" s="73"/>
      <c r="K505" s="139"/>
      <c r="L505" s="139"/>
      <c r="M505" s="223">
        <f t="shared" si="94"/>
        <v>2062.5</v>
      </c>
      <c r="N505" s="223">
        <f t="shared" si="95"/>
        <v>1031.25</v>
      </c>
      <c r="O505" s="43">
        <v>1.65</v>
      </c>
      <c r="P505" s="233">
        <f>1000/1.6</f>
        <v>625</v>
      </c>
      <c r="Q505" s="139"/>
    </row>
    <row r="506" spans="1:17" s="43" customFormat="1" ht="15.75" hidden="1" thickBot="1">
      <c r="A506" s="52"/>
      <c r="B506" s="52">
        <v>22</v>
      </c>
      <c r="C506" s="35" t="s">
        <v>285</v>
      </c>
      <c r="D506" s="52" t="str">
        <f t="shared" si="92"/>
        <v>Option Selctd.</v>
      </c>
      <c r="E506" s="77" t="str">
        <f t="shared" si="93"/>
        <v/>
      </c>
      <c r="F506" s="35"/>
      <c r="G506" s="258" t="str">
        <f t="shared" si="91"/>
        <v/>
      </c>
      <c r="J506" s="73"/>
      <c r="K506" s="139"/>
      <c r="L506" s="139"/>
      <c r="M506" s="223">
        <f t="shared" si="94"/>
        <v>452.74390243902434</v>
      </c>
      <c r="N506" s="223">
        <f t="shared" si="95"/>
        <v>226.37195121951217</v>
      </c>
      <c r="O506" s="43">
        <v>1.65</v>
      </c>
      <c r="P506" s="233">
        <f>200/0.82*0.9/1.6</f>
        <v>137.19512195121951</v>
      </c>
      <c r="Q506" s="139"/>
    </row>
    <row r="507" spans="1:17" s="43" customFormat="1" ht="15.75" hidden="1" thickBot="1">
      <c r="A507" s="52"/>
      <c r="B507" s="52">
        <v>22</v>
      </c>
      <c r="C507" s="35" t="s">
        <v>286</v>
      </c>
      <c r="D507" s="52" t="str">
        <f t="shared" si="92"/>
        <v>Option Selctd.</v>
      </c>
      <c r="E507" s="77" t="str">
        <f t="shared" si="93"/>
        <v/>
      </c>
      <c r="F507" s="35"/>
      <c r="G507" s="258" t="str">
        <f t="shared" si="91"/>
        <v/>
      </c>
      <c r="J507" s="73"/>
      <c r="K507" s="139"/>
      <c r="L507" s="139"/>
      <c r="M507" s="223">
        <f t="shared" si="94"/>
        <v>204.1875</v>
      </c>
      <c r="N507" s="223">
        <f t="shared" si="95"/>
        <v>102.09375</v>
      </c>
      <c r="O507" s="43">
        <v>1.65</v>
      </c>
      <c r="P507" s="233">
        <f>110*0.9/1.6</f>
        <v>61.875</v>
      </c>
      <c r="Q507" s="139"/>
    </row>
    <row r="508" spans="1:17" s="43" customFormat="1" ht="15.75" hidden="1" thickBot="1">
      <c r="A508" s="52"/>
      <c r="B508" s="52">
        <v>22</v>
      </c>
      <c r="C508" s="35" t="s">
        <v>762</v>
      </c>
      <c r="D508" s="52" t="str">
        <f t="shared" si="92"/>
        <v>Option Selctd.</v>
      </c>
      <c r="E508" s="77" t="str">
        <f t="shared" si="93"/>
        <v/>
      </c>
      <c r="F508" s="35"/>
      <c r="G508" s="258" t="str">
        <f t="shared" si="91"/>
        <v/>
      </c>
      <c r="J508" s="73"/>
      <c r="K508" s="139"/>
      <c r="L508" s="139"/>
      <c r="M508" s="223">
        <f t="shared" si="94"/>
        <v>0</v>
      </c>
      <c r="N508" s="223">
        <f t="shared" si="95"/>
        <v>0</v>
      </c>
      <c r="O508" s="43">
        <v>1.65</v>
      </c>
      <c r="P508" s="233">
        <f>31*($E$7+$E$8)*0.9/1.6</f>
        <v>0</v>
      </c>
      <c r="Q508" s="139"/>
    </row>
    <row r="509" spans="1:17" s="43" customFormat="1" ht="15.75" hidden="1" thickBot="1">
      <c r="A509" s="52"/>
      <c r="B509" s="52">
        <v>22</v>
      </c>
      <c r="C509" s="35" t="s">
        <v>287</v>
      </c>
      <c r="D509" s="52" t="str">
        <f t="shared" si="92"/>
        <v>Option Selctd.</v>
      </c>
      <c r="E509" s="77" t="str">
        <f t="shared" si="93"/>
        <v/>
      </c>
      <c r="F509" s="35"/>
      <c r="G509" s="258" t="str">
        <f t="shared" si="91"/>
        <v/>
      </c>
      <c r="J509" s="73"/>
      <c r="K509" s="139"/>
      <c r="L509" s="139"/>
      <c r="M509" s="223">
        <f t="shared" si="94"/>
        <v>87.243749999999991</v>
      </c>
      <c r="N509" s="223">
        <f t="shared" si="95"/>
        <v>43.621874999999996</v>
      </c>
      <c r="O509" s="43">
        <v>1.65</v>
      </c>
      <c r="P509" s="233">
        <f>47*0.9/1.6</f>
        <v>26.4375</v>
      </c>
      <c r="Q509" s="139"/>
    </row>
    <row r="510" spans="1:17" s="43" customFormat="1" ht="15.75" hidden="1" thickBot="1">
      <c r="A510" s="52"/>
      <c r="B510" s="52">
        <v>22</v>
      </c>
      <c r="C510" s="35" t="s">
        <v>290</v>
      </c>
      <c r="D510" s="52" t="str">
        <f t="shared" si="92"/>
        <v>Option Selctd.</v>
      </c>
      <c r="E510" s="77" t="str">
        <f t="shared" si="93"/>
        <v/>
      </c>
      <c r="F510" s="35"/>
      <c r="G510" s="258" t="str">
        <f t="shared" si="91"/>
        <v/>
      </c>
      <c r="J510" s="73"/>
      <c r="K510" s="139"/>
      <c r="L510" s="139"/>
      <c r="M510" s="223">
        <f t="shared" si="94"/>
        <v>81.493902439024382</v>
      </c>
      <c r="N510" s="223">
        <f t="shared" si="95"/>
        <v>40.746951219512191</v>
      </c>
      <c r="O510" s="43">
        <v>1.65</v>
      </c>
      <c r="P510" s="233">
        <f>6/0.82*($E$7+4+$E$8+2)*0.9/1.6</f>
        <v>24.695121951219512</v>
      </c>
      <c r="Q510" s="139"/>
    </row>
    <row r="511" spans="1:17" s="43" customFormat="1" ht="15.75" hidden="1" thickBot="1">
      <c r="A511" s="52"/>
      <c r="B511" s="52">
        <v>22</v>
      </c>
      <c r="C511" s="193" t="s">
        <v>293</v>
      </c>
      <c r="D511" s="52" t="str">
        <f t="shared" si="92"/>
        <v>Option Selctd.</v>
      </c>
      <c r="E511" s="77" t="str">
        <f t="shared" si="93"/>
        <v/>
      </c>
      <c r="F511" s="35"/>
      <c r="G511" s="258" t="str">
        <f t="shared" si="91"/>
        <v/>
      </c>
      <c r="J511" s="73"/>
      <c r="K511" s="139"/>
      <c r="L511" s="139"/>
      <c r="M511" s="223">
        <f t="shared" si="94"/>
        <v>59.4</v>
      </c>
      <c r="N511" s="223">
        <f t="shared" si="95"/>
        <v>29.7</v>
      </c>
      <c r="O511" s="43">
        <v>1.65</v>
      </c>
      <c r="P511" s="233">
        <f>32*0.9/1.6</f>
        <v>18</v>
      </c>
      <c r="Q511" s="139"/>
    </row>
    <row r="512" spans="1:17" s="43" customFormat="1" ht="15.75" hidden="1" thickBot="1">
      <c r="A512" s="52"/>
      <c r="B512" s="52">
        <v>22</v>
      </c>
      <c r="C512" s="193" t="s">
        <v>293</v>
      </c>
      <c r="D512" s="52" t="str">
        <f t="shared" si="92"/>
        <v>Option Selctd.</v>
      </c>
      <c r="E512" s="77" t="str">
        <f t="shared" si="93"/>
        <v/>
      </c>
      <c r="F512" s="35"/>
      <c r="G512" s="258" t="str">
        <f t="shared" si="91"/>
        <v/>
      </c>
      <c r="J512" s="73"/>
      <c r="K512" s="139"/>
      <c r="L512" s="139"/>
      <c r="M512" s="223">
        <f t="shared" si="94"/>
        <v>59.4</v>
      </c>
      <c r="N512" s="223">
        <f t="shared" si="95"/>
        <v>29.7</v>
      </c>
      <c r="O512" s="43">
        <v>1.65</v>
      </c>
      <c r="P512" s="233">
        <f>32*0.9/1.6</f>
        <v>18</v>
      </c>
      <c r="Q512" s="139"/>
    </row>
    <row r="513" spans="1:44" s="43" customFormat="1" ht="15.75" hidden="1" thickBot="1">
      <c r="A513" s="52"/>
      <c r="B513" s="52">
        <v>22</v>
      </c>
      <c r="C513" s="35" t="s">
        <v>299</v>
      </c>
      <c r="D513" s="52" t="str">
        <f t="shared" si="92"/>
        <v>Option Selctd.</v>
      </c>
      <c r="E513" s="77" t="str">
        <f t="shared" si="93"/>
        <v/>
      </c>
      <c r="F513" s="35"/>
      <c r="G513" s="258" t="str">
        <f t="shared" si="91"/>
        <v/>
      </c>
      <c r="J513" s="73"/>
      <c r="K513" s="139"/>
      <c r="L513" s="139"/>
      <c r="M513" s="223">
        <f t="shared" si="94"/>
        <v>83.53125</v>
      </c>
      <c r="N513" s="223">
        <f t="shared" si="95"/>
        <v>41.765625</v>
      </c>
      <c r="O513" s="43">
        <v>1.65</v>
      </c>
      <c r="P513" s="233">
        <f>45*0.9/1.6+(26*$E$5)*0.9/1.6</f>
        <v>25.3125</v>
      </c>
    </row>
    <row r="514" spans="1:44" s="43" customFormat="1" ht="15.75" hidden="1" thickBot="1">
      <c r="A514" s="52"/>
      <c r="B514" s="52">
        <v>22</v>
      </c>
      <c r="C514" s="35" t="s">
        <v>300</v>
      </c>
      <c r="D514" s="52" t="str">
        <f t="shared" si="92"/>
        <v>Option Selctd.</v>
      </c>
      <c r="E514" s="77" t="str">
        <f t="shared" si="93"/>
        <v/>
      </c>
      <c r="F514" s="35"/>
      <c r="G514" s="258" t="str">
        <f t="shared" si="91"/>
        <v/>
      </c>
      <c r="J514" s="73"/>
      <c r="K514" s="139"/>
      <c r="L514" s="139"/>
      <c r="M514" s="223">
        <f t="shared" si="94"/>
        <v>83.53125</v>
      </c>
      <c r="N514" s="223">
        <f t="shared" si="95"/>
        <v>41.765625</v>
      </c>
      <c r="O514" s="43">
        <v>1.65</v>
      </c>
      <c r="P514" s="233">
        <f>45*0.9/1.6+(56*$E$5)*0.9/1.6</f>
        <v>25.3125</v>
      </c>
    </row>
    <row r="515" spans="1:44" s="43" customFormat="1" ht="15.75" hidden="1" thickBot="1">
      <c r="A515" s="52"/>
      <c r="B515" s="52">
        <v>22</v>
      </c>
      <c r="C515" s="35" t="s">
        <v>302</v>
      </c>
      <c r="D515" s="52" t="str">
        <f>IF(E515="","Option Selctd.","")</f>
        <v>Option Selctd.</v>
      </c>
      <c r="E515" s="77" t="str">
        <f>IF(AND(ISBLANK($A$494),A515&gt;0),G515,"")</f>
        <v/>
      </c>
      <c r="F515" s="35"/>
      <c r="G515" s="258" t="str">
        <f>IF(ISBLANK(A515),"",(A515*M515*(1-$H$3)))</f>
        <v/>
      </c>
      <c r="J515" s="73"/>
      <c r="K515" s="139"/>
      <c r="L515" s="139"/>
      <c r="M515" s="223">
        <f>N515*2</f>
        <v>96.524999999999991</v>
      </c>
      <c r="N515" s="223">
        <f>P515*O515</f>
        <v>48.262499999999996</v>
      </c>
      <c r="O515" s="43">
        <v>1.65</v>
      </c>
      <c r="P515" s="233">
        <f>52*0.9/1.6</f>
        <v>29.25</v>
      </c>
    </row>
    <row r="516" spans="1:44" s="43" customFormat="1" ht="16.5" hidden="1" thickBot="1">
      <c r="A516" s="52"/>
      <c r="B516" s="52">
        <v>22</v>
      </c>
      <c r="C516" s="235" t="s">
        <v>768</v>
      </c>
      <c r="D516" s="52" t="str">
        <f t="shared" si="92"/>
        <v>Option Selctd.</v>
      </c>
      <c r="E516" s="77" t="str">
        <f t="shared" si="93"/>
        <v/>
      </c>
      <c r="F516" s="35"/>
      <c r="G516" s="258" t="str">
        <f t="shared" si="91"/>
        <v/>
      </c>
      <c r="J516" s="73"/>
      <c r="K516" s="139"/>
      <c r="L516" s="139"/>
      <c r="M516" s="223">
        <f t="shared" si="94"/>
        <v>3900</v>
      </c>
      <c r="N516" s="223">
        <f t="shared" si="95"/>
        <v>1950</v>
      </c>
      <c r="O516" s="43">
        <v>2</v>
      </c>
      <c r="P516" s="251">
        <f>675+300</f>
        <v>975</v>
      </c>
    </row>
    <row r="517" spans="1:44" s="43" customFormat="1" ht="15.75" hidden="1" thickBot="1">
      <c r="A517" s="52"/>
      <c r="B517" s="52"/>
      <c r="C517" s="35"/>
      <c r="D517" s="74"/>
      <c r="E517" s="77" t="str">
        <f t="shared" si="93"/>
        <v/>
      </c>
      <c r="F517" s="289"/>
      <c r="H517" s="242"/>
      <c r="K517" s="139"/>
      <c r="L517" s="139"/>
      <c r="M517" s="139"/>
      <c r="N517" s="139"/>
      <c r="O517" s="139"/>
      <c r="P517" s="139"/>
      <c r="Q517" s="139"/>
      <c r="V517" s="43" t="s">
        <v>537</v>
      </c>
    </row>
    <row r="518" spans="1:44" s="43" customFormat="1" ht="16.5" hidden="1" thickBot="1">
      <c r="A518" s="52"/>
      <c r="B518" s="52">
        <v>22</v>
      </c>
      <c r="C518" s="35" t="s">
        <v>303</v>
      </c>
      <c r="D518" s="52" t="str">
        <f t="shared" si="92"/>
        <v>Option Selctd.</v>
      </c>
      <c r="E518" s="77" t="str">
        <f t="shared" si="93"/>
        <v/>
      </c>
      <c r="F518" s="35"/>
      <c r="G518" s="256" t="str">
        <f>IF(ISBLANK(A518),"",(A518*H518*0.3))</f>
        <v/>
      </c>
      <c r="H518" s="256">
        <f>SUM($G$494:$G$495)+SUM($G$503:$G$507)</f>
        <v>0</v>
      </c>
      <c r="J518" s="73"/>
      <c r="K518" s="139"/>
      <c r="L518" s="139"/>
      <c r="M518" s="139"/>
      <c r="N518" s="139"/>
      <c r="O518" s="139"/>
      <c r="P518" s="139"/>
      <c r="Q518" s="139"/>
      <c r="V518" s="43" t="s">
        <v>774</v>
      </c>
      <c r="W518" s="52" t="s">
        <v>309</v>
      </c>
      <c r="X518" s="52" t="s">
        <v>310</v>
      </c>
      <c r="Y518" s="88" t="s">
        <v>653</v>
      </c>
      <c r="Z518" s="52" t="s">
        <v>311</v>
      </c>
      <c r="AA518" s="52" t="s">
        <v>312</v>
      </c>
      <c r="AB518" s="88" t="s">
        <v>657</v>
      </c>
      <c r="AE518" s="43" t="s">
        <v>538</v>
      </c>
      <c r="AG518" s="43">
        <v>1.65</v>
      </c>
      <c r="AM518" s="43" t="s">
        <v>540</v>
      </c>
    </row>
    <row r="519" spans="1:44" s="43" customFormat="1" ht="16.5" hidden="1" thickBot="1">
      <c r="A519" s="52"/>
      <c r="B519" s="52">
        <v>22</v>
      </c>
      <c r="C519" s="35" t="s">
        <v>771</v>
      </c>
      <c r="D519" s="52" t="str">
        <f>IF(E519="","Option Selctd.","")</f>
        <v>Option Selctd.</v>
      </c>
      <c r="E519" s="77" t="str">
        <f>IF(AND(ISBLANK($A$494),A519&gt;0),G519,"")</f>
        <v/>
      </c>
      <c r="F519" s="35"/>
      <c r="G519" s="256" t="str">
        <f>IF(ISBLANK(A519),"",(A519*H519*0.48))</f>
        <v/>
      </c>
      <c r="H519" s="256">
        <f>SUM($G$494:$G$495)+SUM($G$503:$G$507)</f>
        <v>0</v>
      </c>
      <c r="J519" s="73"/>
      <c r="K519" s="139"/>
      <c r="L519" s="139"/>
      <c r="M519" s="139"/>
      <c r="N519" s="139"/>
      <c r="O519" s="139"/>
      <c r="P519" s="139"/>
      <c r="Q519" s="139"/>
      <c r="U519" s="74" t="s">
        <v>775</v>
      </c>
      <c r="W519" s="43">
        <v>1</v>
      </c>
      <c r="X519" s="43">
        <v>2</v>
      </c>
      <c r="Y519" s="43">
        <v>3</v>
      </c>
      <c r="Z519" s="43">
        <v>4</v>
      </c>
      <c r="AA519" s="43">
        <v>5</v>
      </c>
      <c r="AB519" s="43">
        <v>6</v>
      </c>
    </row>
    <row r="520" spans="1:44" s="43" customFormat="1" ht="15.75" hidden="1" thickBot="1">
      <c r="A520" s="52"/>
      <c r="B520" s="52">
        <v>22</v>
      </c>
      <c r="C520" s="35" t="s">
        <v>304</v>
      </c>
      <c r="D520" s="52" t="str">
        <f t="shared" si="92"/>
        <v>Option Selctd.</v>
      </c>
      <c r="E520" s="77" t="str">
        <f t="shared" si="93"/>
        <v/>
      </c>
      <c r="F520" s="35"/>
      <c r="G520" s="256" t="str">
        <f>IF(ISBLANK(A520),"",(A520*H520*0.3))</f>
        <v/>
      </c>
      <c r="H520" s="256">
        <f>SUM($G$494:$G$495)+SUM($G$503:$G$507)</f>
        <v>0</v>
      </c>
      <c r="J520" s="73"/>
      <c r="K520" s="139"/>
      <c r="L520" s="139"/>
      <c r="M520" s="139"/>
      <c r="N520" s="139"/>
      <c r="O520" s="139"/>
      <c r="P520" s="139"/>
      <c r="Q520" s="139"/>
      <c r="U520" s="74" t="s">
        <v>308</v>
      </c>
      <c r="V520" s="43">
        <v>1</v>
      </c>
      <c r="W520" s="233">
        <f t="shared" ref="W520:AB522" si="96">AE520*2</f>
        <v>211.61249999999998</v>
      </c>
      <c r="X520" s="233">
        <f t="shared" si="96"/>
        <v>275.09625</v>
      </c>
      <c r="Y520" s="233">
        <f t="shared" si="96"/>
        <v>313.18649999999997</v>
      </c>
      <c r="Z520" s="233">
        <f t="shared" si="96"/>
        <v>275.09625</v>
      </c>
      <c r="AA520" s="233">
        <f t="shared" si="96"/>
        <v>296.25749999999994</v>
      </c>
      <c r="AB520" s="233">
        <f t="shared" si="96"/>
        <v>338.58</v>
      </c>
      <c r="AE520" s="233">
        <f t="shared" ref="AE520:AJ522" si="97">AM520*$AG$518</f>
        <v>105.80624999999999</v>
      </c>
      <c r="AF520" s="233">
        <f t="shared" si="97"/>
        <v>137.548125</v>
      </c>
      <c r="AG520" s="233">
        <f t="shared" si="97"/>
        <v>156.59324999999998</v>
      </c>
      <c r="AH520" s="233">
        <f t="shared" si="97"/>
        <v>137.548125</v>
      </c>
      <c r="AI520" s="233">
        <f t="shared" si="97"/>
        <v>148.12874999999997</v>
      </c>
      <c r="AJ520" s="233">
        <f t="shared" si="97"/>
        <v>169.29</v>
      </c>
      <c r="AM520" s="233">
        <f>114*0.9/1.6</f>
        <v>64.125</v>
      </c>
      <c r="AN520" s="290">
        <f>AM520*1.3</f>
        <v>83.362499999999997</v>
      </c>
      <c r="AO520" s="290">
        <f>AM520*1.48</f>
        <v>94.905000000000001</v>
      </c>
      <c r="AP520" s="290">
        <f>AM520*1.3</f>
        <v>83.362499999999997</v>
      </c>
      <c r="AQ520" s="290">
        <f>AM520*1.4</f>
        <v>89.774999999999991</v>
      </c>
      <c r="AR520" s="290">
        <f>AM520*1.6</f>
        <v>102.60000000000001</v>
      </c>
    </row>
    <row r="521" spans="1:44" s="43" customFormat="1" ht="15.75" hidden="1" thickBot="1">
      <c r="A521" s="52"/>
      <c r="B521" s="52">
        <v>22</v>
      </c>
      <c r="C521" s="35" t="s">
        <v>305</v>
      </c>
      <c r="D521" s="52" t="str">
        <f>IF(E521="","Option Selctd.","")</f>
        <v>Option Selctd.</v>
      </c>
      <c r="E521" s="77" t="str">
        <f>IF(AND(ISBLANK($A$494),A521&gt;0),G521,"")</f>
        <v/>
      </c>
      <c r="F521" s="35"/>
      <c r="G521" s="256" t="str">
        <f>IF(ISBLANK(A521),"",(A521*H521*0.4))</f>
        <v/>
      </c>
      <c r="H521" s="256">
        <f>SUM($G$494:$G$495)+SUM($G$503:$G$507)</f>
        <v>0</v>
      </c>
      <c r="J521" s="73"/>
      <c r="K521" s="139"/>
      <c r="L521" s="139"/>
      <c r="M521" s="139"/>
      <c r="N521" s="139"/>
      <c r="O521" s="139"/>
      <c r="P521" s="139"/>
      <c r="Q521" s="139"/>
      <c r="U521" s="74" t="s">
        <v>313</v>
      </c>
      <c r="V521" s="43">
        <v>2</v>
      </c>
      <c r="W521" s="233">
        <f t="shared" si="96"/>
        <v>374.96249999999998</v>
      </c>
      <c r="X521" s="233">
        <f t="shared" si="96"/>
        <v>487.45125000000002</v>
      </c>
      <c r="Y521" s="233">
        <f t="shared" si="96"/>
        <v>554.94449999999995</v>
      </c>
      <c r="Z521" s="233">
        <f t="shared" si="96"/>
        <v>487.45125000000002</v>
      </c>
      <c r="AA521" s="233">
        <f t="shared" si="96"/>
        <v>524.94749999999999</v>
      </c>
      <c r="AB521" s="233">
        <f t="shared" si="96"/>
        <v>599.94000000000005</v>
      </c>
      <c r="AE521" s="233">
        <f t="shared" si="97"/>
        <v>187.48124999999999</v>
      </c>
      <c r="AF521" s="233">
        <f t="shared" si="97"/>
        <v>243.72562500000001</v>
      </c>
      <c r="AG521" s="233">
        <f t="shared" si="97"/>
        <v>277.47224999999997</v>
      </c>
      <c r="AH521" s="233">
        <f t="shared" si="97"/>
        <v>243.72562500000001</v>
      </c>
      <c r="AI521" s="233">
        <f t="shared" si="97"/>
        <v>262.47375</v>
      </c>
      <c r="AJ521" s="233">
        <f t="shared" si="97"/>
        <v>299.97000000000003</v>
      </c>
      <c r="AM521" s="233">
        <f>202*0.9/1.6</f>
        <v>113.625</v>
      </c>
      <c r="AN521" s="290">
        <f>AM521*1.3</f>
        <v>147.71250000000001</v>
      </c>
      <c r="AO521" s="290">
        <f>AM521*1.48</f>
        <v>168.16499999999999</v>
      </c>
      <c r="AP521" s="290">
        <f>AM521*1.3</f>
        <v>147.71250000000001</v>
      </c>
      <c r="AQ521" s="290">
        <f>AM521*1.4</f>
        <v>159.07499999999999</v>
      </c>
      <c r="AR521" s="290">
        <f>AM521*1.6</f>
        <v>181.8</v>
      </c>
    </row>
    <row r="522" spans="1:44" s="43" customFormat="1" ht="16.5" hidden="1" thickBot="1">
      <c r="A522" s="52"/>
      <c r="B522" s="52">
        <v>22</v>
      </c>
      <c r="C522" s="35" t="s">
        <v>772</v>
      </c>
      <c r="D522" s="52" t="str">
        <f t="shared" si="92"/>
        <v>Option Selctd.</v>
      </c>
      <c r="E522" s="77" t="str">
        <f t="shared" si="93"/>
        <v/>
      </c>
      <c r="F522" s="35"/>
      <c r="G522" s="256" t="str">
        <f>IF(ISBLANK(A522),"",(A522*H522*0.6))</f>
        <v/>
      </c>
      <c r="H522" s="256">
        <f>SUM($G$494:$G$495)+SUM($G$503:$G$507)</f>
        <v>0</v>
      </c>
      <c r="J522" s="73"/>
      <c r="K522" s="139"/>
      <c r="L522" s="139"/>
      <c r="M522" s="139"/>
      <c r="N522" s="139"/>
      <c r="O522" s="139"/>
      <c r="P522" s="139"/>
      <c r="Q522" s="139"/>
      <c r="U522" s="74" t="s">
        <v>314</v>
      </c>
      <c r="V522" s="43">
        <v>3</v>
      </c>
      <c r="W522" s="233">
        <f t="shared" si="96"/>
        <v>433.125</v>
      </c>
      <c r="X522" s="233">
        <f t="shared" si="96"/>
        <v>563.0625</v>
      </c>
      <c r="Y522" s="233">
        <f t="shared" si="96"/>
        <v>641.02499999999998</v>
      </c>
      <c r="Z522" s="233">
        <f t="shared" si="96"/>
        <v>563.0625</v>
      </c>
      <c r="AA522" s="233">
        <f t="shared" si="96"/>
        <v>606.375</v>
      </c>
      <c r="AB522" s="233">
        <f t="shared" si="96"/>
        <v>693</v>
      </c>
      <c r="AE522" s="233">
        <f t="shared" si="97"/>
        <v>216.5625</v>
      </c>
      <c r="AF522" s="233">
        <f t="shared" si="97"/>
        <v>281.53125</v>
      </c>
      <c r="AG522" s="233">
        <f t="shared" si="97"/>
        <v>320.51249999999999</v>
      </c>
      <c r="AH522" s="233">
        <f t="shared" si="97"/>
        <v>281.53125</v>
      </c>
      <c r="AI522" s="233">
        <f t="shared" si="97"/>
        <v>303.1875</v>
      </c>
      <c r="AJ522" s="233">
        <f t="shared" si="97"/>
        <v>346.5</v>
      </c>
      <c r="AM522" s="233">
        <f>192/1.6+20*0.9/1.6</f>
        <v>131.25</v>
      </c>
      <c r="AN522" s="290">
        <f>AM522*1.3</f>
        <v>170.625</v>
      </c>
      <c r="AO522" s="290">
        <f>AM522*1.48</f>
        <v>194.25</v>
      </c>
      <c r="AP522" s="290">
        <f>AM522*1.3</f>
        <v>170.625</v>
      </c>
      <c r="AQ522" s="290">
        <f>AM522*1.4</f>
        <v>183.75</v>
      </c>
      <c r="AR522" s="290">
        <f>AM522*1.6</f>
        <v>210</v>
      </c>
    </row>
    <row r="523" spans="1:44" s="43" customFormat="1" ht="15.75" hidden="1" thickBot="1">
      <c r="A523" s="263" t="str">
        <f>IF(SUM($A$524:$A$536)&gt;0,"-","")</f>
        <v/>
      </c>
      <c r="B523" s="52"/>
      <c r="C523" s="264" t="str">
        <f>IF(SUM($A$524:$A$536)&gt;0,"Stand Alone items selected","")</f>
        <v/>
      </c>
      <c r="D523" s="52"/>
      <c r="E523" s="79"/>
      <c r="F523" s="35"/>
      <c r="G523" s="256"/>
      <c r="H523" s="256"/>
      <c r="J523" s="73"/>
      <c r="K523" s="139"/>
      <c r="L523" s="139"/>
      <c r="M523" s="139"/>
      <c r="N523" s="139"/>
      <c r="O523" s="139"/>
      <c r="P523" s="139"/>
      <c r="Q523" s="139"/>
    </row>
    <row r="524" spans="1:44" s="43" customFormat="1" ht="15.75" hidden="1" thickBot="1">
      <c r="A524" s="52"/>
      <c r="B524" s="52"/>
      <c r="C524" s="35"/>
      <c r="D524" s="52"/>
      <c r="E524" s="291"/>
      <c r="F524" s="35"/>
      <c r="H524" s="247"/>
      <c r="J524" s="73"/>
      <c r="K524" s="139"/>
      <c r="L524" s="139"/>
      <c r="M524" s="285"/>
      <c r="N524" s="139"/>
      <c r="O524" s="139"/>
      <c r="P524" s="139"/>
      <c r="Q524" s="139"/>
    </row>
    <row r="525" spans="1:44" s="43" customFormat="1" ht="15.75" hidden="1" thickBot="1">
      <c r="A525" s="52"/>
      <c r="B525" s="52">
        <v>22</v>
      </c>
      <c r="C525" s="35" t="s">
        <v>313</v>
      </c>
      <c r="D525" s="52" t="s">
        <v>774</v>
      </c>
      <c r="E525" s="244" t="str">
        <f t="shared" ref="E525:E535" si="98">IF(ISBLANK(A525),"",(A525*M525*(1-$H$3)))</f>
        <v/>
      </c>
      <c r="F525" s="35"/>
      <c r="G525" s="258"/>
      <c r="J525" s="73"/>
      <c r="K525" s="139"/>
      <c r="L525" s="139"/>
      <c r="M525" s="247" t="e">
        <f>INDEX($W$520:$AB$522,VLOOKUP($C$525,$U$520:$V$522,2,FALSE),HLOOKUP($D$525,$W$518:$AB$519,2,FALSE))</f>
        <v>#N/A</v>
      </c>
      <c r="N525" s="292" t="s">
        <v>776</v>
      </c>
      <c r="O525" s="139"/>
      <c r="P525" s="139"/>
      <c r="Q525" s="139"/>
    </row>
    <row r="526" spans="1:44" s="43" customFormat="1" ht="15.75" hidden="1" thickBot="1">
      <c r="A526" s="52"/>
      <c r="B526" s="52">
        <v>22</v>
      </c>
      <c r="C526" s="35" t="s">
        <v>314</v>
      </c>
      <c r="D526" s="52" t="s">
        <v>774</v>
      </c>
      <c r="E526" s="244" t="str">
        <f t="shared" si="98"/>
        <v/>
      </c>
      <c r="F526" s="35"/>
      <c r="G526" s="258" t="str">
        <f>IF(ISBLANK(A526),"",(A526*M526*(1-$H$3)))</f>
        <v/>
      </c>
      <c r="J526" s="73"/>
      <c r="K526" s="139"/>
      <c r="L526" s="139"/>
      <c r="M526" s="247" t="e">
        <f>INDEX($W$520:$AB$522,VLOOKUP($C$526,$U$520:$V$522,2,FALSE),HLOOKUP($D$526,$W$518:$AB$519,2,FALSE))</f>
        <v>#N/A</v>
      </c>
      <c r="N526" s="292" t="s">
        <v>776</v>
      </c>
      <c r="O526" s="139"/>
      <c r="P526" s="139"/>
      <c r="Q526" s="139"/>
    </row>
    <row r="527" spans="1:44" s="43" customFormat="1" ht="15.75" hidden="1" thickBot="1">
      <c r="A527" s="52"/>
      <c r="B527" s="52"/>
      <c r="C527" s="35"/>
      <c r="D527" s="52"/>
      <c r="E527" s="291"/>
      <c r="F527" s="35"/>
      <c r="H527" s="247"/>
      <c r="J527" s="73"/>
      <c r="K527" s="139"/>
      <c r="L527" s="139"/>
      <c r="M527" s="139"/>
      <c r="N527" s="139"/>
      <c r="O527" s="139"/>
      <c r="P527" s="139"/>
      <c r="Q527" s="139"/>
    </row>
    <row r="528" spans="1:44" s="43" customFormat="1" ht="15.75" hidden="1" thickBot="1">
      <c r="A528" s="52"/>
      <c r="B528" s="52">
        <v>22</v>
      </c>
      <c r="C528" s="35" t="s">
        <v>315</v>
      </c>
      <c r="D528" s="52"/>
      <c r="E528" s="244" t="str">
        <f t="shared" si="98"/>
        <v/>
      </c>
      <c r="F528" s="35"/>
      <c r="J528" s="73"/>
      <c r="K528" s="139"/>
      <c r="L528" s="139"/>
      <c r="M528" s="223">
        <f>N528*2</f>
        <v>139.21875</v>
      </c>
      <c r="N528" s="223">
        <f>P528*O528</f>
        <v>69.609375</v>
      </c>
      <c r="O528" s="43">
        <v>1.65</v>
      </c>
      <c r="P528" s="233">
        <f>75*0.9/1.6</f>
        <v>42.1875</v>
      </c>
      <c r="Q528" s="139"/>
    </row>
    <row r="529" spans="1:39" s="43" customFormat="1" ht="15.75" hidden="1" thickBot="1">
      <c r="A529" s="52"/>
      <c r="B529" s="52">
        <v>22</v>
      </c>
      <c r="C529" s="35" t="s">
        <v>316</v>
      </c>
      <c r="D529" s="52"/>
      <c r="E529" s="244" t="str">
        <f t="shared" si="98"/>
        <v/>
      </c>
      <c r="F529" s="35"/>
      <c r="J529" s="73"/>
      <c r="K529" s="139"/>
      <c r="L529" s="139"/>
      <c r="M529" s="223">
        <f t="shared" ref="M529:M535" si="99">N529*2</f>
        <v>673.81874999999991</v>
      </c>
      <c r="N529" s="223">
        <f t="shared" ref="N529:N535" si="100">P529*O529</f>
        <v>336.90937499999995</v>
      </c>
      <c r="O529" s="43">
        <v>1.65</v>
      </c>
      <c r="P529" s="233">
        <f>363*0.9/1.6</f>
        <v>204.18749999999997</v>
      </c>
      <c r="Q529" s="139"/>
    </row>
    <row r="530" spans="1:39" s="43" customFormat="1" ht="31.5" hidden="1" thickBot="1">
      <c r="A530" s="52"/>
      <c r="B530" s="52">
        <v>22</v>
      </c>
      <c r="C530" s="193" t="s">
        <v>777</v>
      </c>
      <c r="D530" s="52"/>
      <c r="E530" s="244" t="str">
        <f t="shared" si="98"/>
        <v/>
      </c>
      <c r="F530" s="35"/>
      <c r="J530" s="73"/>
      <c r="K530" s="139"/>
      <c r="L530" s="139"/>
      <c r="M530" s="223">
        <f t="shared" si="99"/>
        <v>651.75</v>
      </c>
      <c r="N530" s="223">
        <f t="shared" si="100"/>
        <v>325.875</v>
      </c>
      <c r="O530" s="43">
        <v>1.65</v>
      </c>
      <c r="P530" s="233">
        <f>271/1.6+50*0.9/1.6</f>
        <v>197.5</v>
      </c>
      <c r="Q530" s="139"/>
    </row>
    <row r="531" spans="1:39" s="43" customFormat="1" ht="31.5" hidden="1" thickBot="1">
      <c r="A531" s="52"/>
      <c r="B531" s="52">
        <v>22</v>
      </c>
      <c r="C531" s="193" t="s">
        <v>778</v>
      </c>
      <c r="D531" s="52"/>
      <c r="E531" s="244" t="str">
        <f t="shared" si="98"/>
        <v/>
      </c>
      <c r="F531" s="35"/>
      <c r="J531" s="73"/>
      <c r="K531" s="139"/>
      <c r="L531" s="139"/>
      <c r="M531" s="223">
        <f t="shared" si="99"/>
        <v>612.5625</v>
      </c>
      <c r="N531" s="223">
        <f t="shared" si="100"/>
        <v>306.28125</v>
      </c>
      <c r="O531" s="43">
        <v>1.65</v>
      </c>
      <c r="P531" s="233">
        <f>252/1.6+50*0.9/1.6</f>
        <v>185.625</v>
      </c>
      <c r="Q531" s="139"/>
    </row>
    <row r="532" spans="1:39" s="43" customFormat="1" ht="30.75" hidden="1" thickBot="1">
      <c r="A532" s="52"/>
      <c r="B532" s="52">
        <v>22</v>
      </c>
      <c r="C532" s="193" t="s">
        <v>779</v>
      </c>
      <c r="D532" s="52"/>
      <c r="E532" s="244" t="str">
        <f t="shared" si="98"/>
        <v/>
      </c>
      <c r="F532" s="35"/>
      <c r="J532" s="73"/>
      <c r="K532" s="139"/>
      <c r="L532" s="139"/>
      <c r="M532" s="223">
        <f t="shared" si="99"/>
        <v>835.3125</v>
      </c>
      <c r="N532" s="223">
        <f t="shared" si="100"/>
        <v>417.65625</v>
      </c>
      <c r="O532" s="43">
        <v>1.65</v>
      </c>
      <c r="P532" s="233">
        <f>450*0.9/1.6</f>
        <v>253.125</v>
      </c>
      <c r="Q532" s="139"/>
    </row>
    <row r="533" spans="1:39" s="43" customFormat="1" ht="45.75" hidden="1" thickBot="1">
      <c r="A533" s="52"/>
      <c r="B533" s="52">
        <v>22</v>
      </c>
      <c r="C533" s="193" t="s">
        <v>780</v>
      </c>
      <c r="D533" s="52"/>
      <c r="E533" s="244" t="str">
        <f t="shared" si="98"/>
        <v/>
      </c>
      <c r="F533" s="35"/>
      <c r="J533" s="73"/>
      <c r="K533" s="139"/>
      <c r="L533" s="139"/>
      <c r="M533" s="223">
        <f t="shared" si="99"/>
        <v>1206.5625</v>
      </c>
      <c r="N533" s="223">
        <f t="shared" si="100"/>
        <v>603.28125</v>
      </c>
      <c r="O533" s="43">
        <v>1.65</v>
      </c>
      <c r="P533" s="233">
        <f>650*0.9/1.6</f>
        <v>365.625</v>
      </c>
      <c r="Q533" s="139"/>
    </row>
    <row r="534" spans="1:39" s="43" customFormat="1" ht="16.5" hidden="1" thickBot="1">
      <c r="A534" s="52"/>
      <c r="B534" s="52">
        <v>22</v>
      </c>
      <c r="C534" s="35" t="s">
        <v>781</v>
      </c>
      <c r="D534" s="52"/>
      <c r="E534" s="244" t="str">
        <f t="shared" si="98"/>
        <v/>
      </c>
      <c r="F534" s="35"/>
      <c r="J534" s="73"/>
      <c r="K534" s="139"/>
      <c r="L534" s="139"/>
      <c r="M534" s="223">
        <f t="shared" si="99"/>
        <v>13702.5</v>
      </c>
      <c r="N534" s="223">
        <f t="shared" si="100"/>
        <v>6851.25</v>
      </c>
      <c r="O534" s="43">
        <v>1.25</v>
      </c>
      <c r="P534" s="293">
        <f>((3996+(1200/$C$12)+285))</f>
        <v>5481</v>
      </c>
      <c r="Q534" s="139"/>
    </row>
    <row r="535" spans="1:39" s="43" customFormat="1" ht="15.75" hidden="1" thickBot="1">
      <c r="A535" s="52"/>
      <c r="B535" s="52">
        <v>22</v>
      </c>
      <c r="C535" s="35" t="s">
        <v>318</v>
      </c>
      <c r="D535" s="52"/>
      <c r="E535" s="244" t="str">
        <f t="shared" si="98"/>
        <v/>
      </c>
      <c r="F535" s="35"/>
      <c r="J535" s="73"/>
      <c r="K535" s="139"/>
      <c r="L535" s="139"/>
      <c r="M535" s="223">
        <f t="shared" si="99"/>
        <v>148.5</v>
      </c>
      <c r="N535" s="223">
        <f t="shared" si="100"/>
        <v>74.25</v>
      </c>
      <c r="O535" s="43">
        <v>1.65</v>
      </c>
      <c r="P535" s="233">
        <f>80*0.9/1.6</f>
        <v>45</v>
      </c>
      <c r="Q535" s="139"/>
    </row>
    <row r="536" spans="1:39" s="43" customFormat="1" ht="15.75" hidden="1" thickBot="1">
      <c r="A536" s="52"/>
      <c r="B536" s="52"/>
      <c r="C536" s="35"/>
      <c r="D536" s="52"/>
      <c r="E536" s="244"/>
      <c r="F536" s="35"/>
      <c r="J536" s="73"/>
      <c r="K536" s="139"/>
      <c r="L536" s="139"/>
      <c r="M536" s="223"/>
      <c r="N536" s="223"/>
      <c r="P536" s="233"/>
      <c r="Q536" s="139"/>
    </row>
    <row r="537" spans="1:39" s="43" customFormat="1" ht="16.5" hidden="1" thickBot="1">
      <c r="A537" s="64" t="str">
        <f>IF(AM9=0,"","-")</f>
        <v/>
      </c>
      <c r="B537" s="65" t="s">
        <v>149</v>
      </c>
      <c r="C537" s="218" t="s">
        <v>319</v>
      </c>
      <c r="D537" s="66"/>
      <c r="E537" s="67"/>
      <c r="F537" s="68">
        <f>SUM(E538:E558)</f>
        <v>0</v>
      </c>
      <c r="H537" s="139"/>
      <c r="I537" s="30"/>
      <c r="J537" s="73"/>
      <c r="K537" s="139"/>
      <c r="L537" s="139"/>
      <c r="M537" s="139"/>
      <c r="N537" s="139"/>
      <c r="O537" s="139"/>
      <c r="P537" s="139"/>
      <c r="Q537" s="139"/>
    </row>
    <row r="538" spans="1:39" s="43" customFormat="1" ht="15.75" hidden="1" thickBot="1">
      <c r="A538" s="84"/>
      <c r="B538" s="51">
        <v>23</v>
      </c>
      <c r="C538" s="193" t="s">
        <v>269</v>
      </c>
      <c r="D538" s="85"/>
      <c r="E538" s="244" t="str">
        <f>IF(ISBLANK(A538),"",(A538*M538*(1-$H$3)))</f>
        <v/>
      </c>
      <c r="F538" s="193" t="s">
        <v>320</v>
      </c>
      <c r="G538" s="274"/>
      <c r="I538" s="30"/>
      <c r="J538" s="73"/>
      <c r="K538" s="139"/>
      <c r="L538" s="139"/>
      <c r="M538" s="223">
        <f t="shared" ref="M538:M543" si="101">N538*2</f>
        <v>105.80624999999999</v>
      </c>
      <c r="N538" s="223">
        <f t="shared" ref="N538:N543" si="102">P538*O538</f>
        <v>52.903124999999996</v>
      </c>
      <c r="O538" s="43">
        <v>1.65</v>
      </c>
      <c r="P538" s="294">
        <f>57*0.9/1.6</f>
        <v>32.0625</v>
      </c>
      <c r="Q538" s="139"/>
    </row>
    <row r="539" spans="1:39" s="43" customFormat="1" ht="15.75" hidden="1" thickBot="1">
      <c r="A539" s="84"/>
      <c r="B539" s="51">
        <v>23</v>
      </c>
      <c r="C539" s="193" t="s">
        <v>782</v>
      </c>
      <c r="D539" s="85"/>
      <c r="E539" s="244" t="str">
        <f t="shared" ref="E539:E602" si="103">IF(ISBLANK(A539),"",(A539*M539*(1-$H$3)))</f>
        <v/>
      </c>
      <c r="F539" s="193" t="s">
        <v>320</v>
      </c>
      <c r="G539" s="274"/>
      <c r="I539" s="30"/>
      <c r="J539" s="73"/>
      <c r="K539" s="139"/>
      <c r="L539" s="139"/>
      <c r="M539" s="223">
        <f t="shared" si="101"/>
        <v>211.61249999999998</v>
      </c>
      <c r="N539" s="223">
        <f t="shared" si="102"/>
        <v>105.80624999999999</v>
      </c>
      <c r="O539" s="43">
        <v>1.65</v>
      </c>
      <c r="P539" s="294">
        <f>57*2*0.9/1.6</f>
        <v>64.125</v>
      </c>
      <c r="Q539" s="139"/>
    </row>
    <row r="540" spans="1:39" s="43" customFormat="1" ht="15.75" hidden="1" thickBot="1">
      <c r="A540" s="84"/>
      <c r="B540" s="51">
        <v>23</v>
      </c>
      <c r="C540" s="193" t="s">
        <v>321</v>
      </c>
      <c r="D540" s="85"/>
      <c r="E540" s="244" t="str">
        <f t="shared" si="103"/>
        <v/>
      </c>
      <c r="F540" s="193"/>
      <c r="G540" s="274"/>
      <c r="I540" s="30"/>
      <c r="J540" s="73"/>
      <c r="K540" s="139"/>
      <c r="L540" s="139"/>
      <c r="M540" s="223">
        <f t="shared" si="101"/>
        <v>51.974999999999994</v>
      </c>
      <c r="N540" s="223">
        <f t="shared" si="102"/>
        <v>25.987499999999997</v>
      </c>
      <c r="O540" s="43">
        <v>1.65</v>
      </c>
      <c r="P540" s="294">
        <f>28*0.9/1.6</f>
        <v>15.749999999999998</v>
      </c>
      <c r="Q540" s="139"/>
    </row>
    <row r="541" spans="1:39" s="43" customFormat="1" ht="15.75" hidden="1" thickBot="1">
      <c r="A541" s="84"/>
      <c r="B541" s="51">
        <v>23</v>
      </c>
      <c r="C541" s="193" t="s">
        <v>322</v>
      </c>
      <c r="D541" s="85"/>
      <c r="E541" s="244" t="str">
        <f t="shared" si="103"/>
        <v/>
      </c>
      <c r="F541" s="193"/>
      <c r="G541" s="274"/>
      <c r="I541" s="30"/>
      <c r="J541" s="73"/>
      <c r="K541" s="139"/>
      <c r="L541" s="139"/>
      <c r="M541" s="223">
        <f t="shared" si="101"/>
        <v>102.09375</v>
      </c>
      <c r="N541" s="223">
        <f t="shared" si="102"/>
        <v>51.046875</v>
      </c>
      <c r="O541" s="43">
        <v>1.65</v>
      </c>
      <c r="P541" s="294">
        <f>55*0.9/1.6</f>
        <v>30.9375</v>
      </c>
      <c r="Q541" s="139"/>
    </row>
    <row r="542" spans="1:39" s="43" customFormat="1" ht="15.75" hidden="1" thickBot="1">
      <c r="A542" s="84"/>
      <c r="B542" s="52">
        <v>23</v>
      </c>
      <c r="C542" s="35" t="s">
        <v>323</v>
      </c>
      <c r="D542" s="71"/>
      <c r="E542" s="244" t="str">
        <f t="shared" si="103"/>
        <v/>
      </c>
      <c r="F542" s="72" t="s">
        <v>320</v>
      </c>
      <c r="G542" s="284"/>
      <c r="I542" s="30"/>
      <c r="J542" s="73"/>
      <c r="K542" s="139"/>
      <c r="L542" s="139"/>
      <c r="M542" s="223">
        <f t="shared" si="101"/>
        <v>51.974999999999994</v>
      </c>
      <c r="N542" s="223">
        <f t="shared" si="102"/>
        <v>25.987499999999997</v>
      </c>
      <c r="O542" s="43">
        <v>1.65</v>
      </c>
      <c r="P542" s="271">
        <f>28*0.9/1.6</f>
        <v>15.749999999999998</v>
      </c>
      <c r="Q542" s="139"/>
    </row>
    <row r="543" spans="1:39" s="43" customFormat="1" ht="16.5" hidden="1" thickBot="1">
      <c r="A543" s="84"/>
      <c r="B543" s="51">
        <v>23</v>
      </c>
      <c r="C543" s="35" t="s">
        <v>324</v>
      </c>
      <c r="D543" s="85"/>
      <c r="E543" s="244" t="str">
        <f t="shared" si="103"/>
        <v/>
      </c>
      <c r="F543" s="193"/>
      <c r="G543" s="274"/>
      <c r="I543" s="30"/>
      <c r="J543" s="73"/>
      <c r="K543" s="139"/>
      <c r="L543" s="139"/>
      <c r="M543" s="223">
        <f t="shared" si="101"/>
        <v>120.65625</v>
      </c>
      <c r="N543" s="223">
        <f t="shared" si="102"/>
        <v>60.328125</v>
      </c>
      <c r="O543" s="43">
        <v>1.65</v>
      </c>
      <c r="P543" s="294">
        <f>65*0.9/1.6</f>
        <v>36.5625</v>
      </c>
      <c r="Q543" s="139"/>
      <c r="V543" s="43" t="s">
        <v>774</v>
      </c>
      <c r="W543" s="52" t="s">
        <v>309</v>
      </c>
      <c r="X543" s="52" t="s">
        <v>310</v>
      </c>
      <c r="Y543" s="88" t="s">
        <v>653</v>
      </c>
      <c r="Z543" s="52" t="s">
        <v>311</v>
      </c>
      <c r="AA543" s="52" t="s">
        <v>312</v>
      </c>
      <c r="AB543" s="88" t="s">
        <v>657</v>
      </c>
      <c r="AE543" s="43" t="s">
        <v>538</v>
      </c>
      <c r="AG543" s="249">
        <v>1.65</v>
      </c>
      <c r="AM543" s="43" t="s">
        <v>540</v>
      </c>
    </row>
    <row r="544" spans="1:39" s="43" customFormat="1" ht="15.75" hidden="1" thickBot="1">
      <c r="A544" s="84"/>
      <c r="B544" s="51"/>
      <c r="C544" s="35"/>
      <c r="D544" s="85"/>
      <c r="E544" s="244" t="str">
        <f t="shared" si="103"/>
        <v/>
      </c>
      <c r="F544" s="193"/>
      <c r="G544" s="274"/>
      <c r="H544" s="206"/>
      <c r="I544" s="30"/>
      <c r="J544" s="73"/>
      <c r="K544" s="139"/>
      <c r="L544" s="139"/>
      <c r="M544" s="139"/>
      <c r="N544" s="139"/>
      <c r="O544" s="139"/>
      <c r="P544" s="139"/>
      <c r="Q544" s="139"/>
      <c r="U544" s="74" t="s">
        <v>783</v>
      </c>
      <c r="W544" s="43">
        <v>1</v>
      </c>
      <c r="X544" s="43">
        <v>2</v>
      </c>
      <c r="Y544" s="43">
        <v>3</v>
      </c>
      <c r="Z544" s="43">
        <v>4</v>
      </c>
      <c r="AA544" s="43">
        <v>5</v>
      </c>
      <c r="AB544" s="43">
        <v>6</v>
      </c>
    </row>
    <row r="545" spans="1:44" s="43" customFormat="1" ht="15.75" hidden="1" thickBot="1">
      <c r="A545" s="84"/>
      <c r="B545" s="51">
        <v>23</v>
      </c>
      <c r="C545" s="35" t="s">
        <v>783</v>
      </c>
      <c r="D545" s="35" t="s">
        <v>774</v>
      </c>
      <c r="E545" s="244" t="str">
        <f t="shared" si="103"/>
        <v/>
      </c>
      <c r="F545" s="193"/>
      <c r="G545" s="274"/>
      <c r="I545" s="30"/>
      <c r="J545" s="73"/>
      <c r="K545" s="139"/>
      <c r="L545" s="139"/>
      <c r="M545" s="206" t="e">
        <f>INDEX($W$545:$AB$558,VLOOKUP(C545,$U$545:$V$558,2,FALSE),HLOOKUP(D545,$W$543:$AB$544,2,FALSE))</f>
        <v>#N/A</v>
      </c>
      <c r="N545" s="139"/>
      <c r="O545" s="139"/>
      <c r="P545" s="139"/>
      <c r="Q545" s="139"/>
      <c r="U545" s="74" t="s">
        <v>325</v>
      </c>
      <c r="V545" s="43">
        <v>1</v>
      </c>
      <c r="W545" s="294">
        <f t="shared" ref="W545:AB558" si="104">AE545*2</f>
        <v>221.84451219512192</v>
      </c>
      <c r="X545" s="294">
        <f t="shared" si="104"/>
        <v>288.39786585365852</v>
      </c>
      <c r="Y545" s="294">
        <f t="shared" si="104"/>
        <v>328.32987804878042</v>
      </c>
      <c r="Z545" s="294">
        <f t="shared" si="104"/>
        <v>288.39786585365852</v>
      </c>
      <c r="AA545" s="294">
        <f t="shared" si="104"/>
        <v>310.58231707317066</v>
      </c>
      <c r="AB545" s="294">
        <f t="shared" si="104"/>
        <v>354.95121951219511</v>
      </c>
      <c r="AE545" s="233">
        <f t="shared" ref="AE545:AJ558" si="105">AM545*$AG$543</f>
        <v>110.92225609756096</v>
      </c>
      <c r="AF545" s="233">
        <f t="shared" si="105"/>
        <v>144.19893292682926</v>
      </c>
      <c r="AG545" s="233">
        <f t="shared" si="105"/>
        <v>164.16493902439021</v>
      </c>
      <c r="AH545" s="233">
        <f t="shared" si="105"/>
        <v>144.19893292682926</v>
      </c>
      <c r="AI545" s="233">
        <f t="shared" si="105"/>
        <v>155.29115853658533</v>
      </c>
      <c r="AJ545" s="233">
        <f t="shared" si="105"/>
        <v>177.47560975609755</v>
      </c>
      <c r="AM545" s="233">
        <f>98/0.82*0.9/1.6</f>
        <v>67.225609756097555</v>
      </c>
      <c r="AN545" s="290">
        <f>AM545*1.3</f>
        <v>87.393292682926827</v>
      </c>
      <c r="AO545" s="290">
        <f>AM545*1.48</f>
        <v>99.493902439024382</v>
      </c>
      <c r="AP545" s="290">
        <f>AM545*1.3</f>
        <v>87.393292682926827</v>
      </c>
      <c r="AQ545" s="290">
        <f>AM545*1.4</f>
        <v>94.115853658536565</v>
      </c>
      <c r="AR545" s="290">
        <f>AM545*1.6</f>
        <v>107.5609756097561</v>
      </c>
    </row>
    <row r="546" spans="1:44" s="43" customFormat="1" ht="15.75" hidden="1" thickBot="1">
      <c r="A546" s="84"/>
      <c r="B546" s="51">
        <v>23</v>
      </c>
      <c r="C546" s="35" t="s">
        <v>783</v>
      </c>
      <c r="D546" s="35" t="s">
        <v>774</v>
      </c>
      <c r="E546" s="244" t="str">
        <f t="shared" si="103"/>
        <v/>
      </c>
      <c r="F546" s="193"/>
      <c r="G546" s="274"/>
      <c r="I546" s="30"/>
      <c r="J546" s="73"/>
      <c r="K546" s="139"/>
      <c r="L546" s="139"/>
      <c r="M546" s="206" t="e">
        <f>INDEX($W$545:$AB$558,VLOOKUP(C546,$U$545:$V$558,2,FALSE),HLOOKUP(D546,$W$543:$AB$544,2,FALSE))</f>
        <v>#N/A</v>
      </c>
      <c r="N546" s="139"/>
      <c r="O546" s="139"/>
      <c r="P546" s="139"/>
      <c r="Q546" s="139"/>
      <c r="U546" s="74" t="s">
        <v>326</v>
      </c>
      <c r="V546" s="43">
        <v>2</v>
      </c>
      <c r="W546" s="294">
        <f t="shared" si="104"/>
        <v>373.10624999999999</v>
      </c>
      <c r="X546" s="294">
        <f t="shared" si="104"/>
        <v>485.03812500000004</v>
      </c>
      <c r="Y546" s="294">
        <f t="shared" si="104"/>
        <v>552.19725000000005</v>
      </c>
      <c r="Z546" s="294">
        <f t="shared" si="104"/>
        <v>485.03812500000004</v>
      </c>
      <c r="AA546" s="294">
        <f t="shared" si="104"/>
        <v>522.34875</v>
      </c>
      <c r="AB546" s="294">
        <f t="shared" si="104"/>
        <v>596.97</v>
      </c>
      <c r="AE546" s="233">
        <f t="shared" si="105"/>
        <v>186.55312499999999</v>
      </c>
      <c r="AF546" s="233">
        <f t="shared" si="105"/>
        <v>242.51906250000002</v>
      </c>
      <c r="AG546" s="233">
        <f t="shared" si="105"/>
        <v>276.09862500000003</v>
      </c>
      <c r="AH546" s="233">
        <f t="shared" si="105"/>
        <v>242.51906250000002</v>
      </c>
      <c r="AI546" s="233">
        <f t="shared" si="105"/>
        <v>261.174375</v>
      </c>
      <c r="AJ546" s="233">
        <f t="shared" si="105"/>
        <v>298.48500000000001</v>
      </c>
      <c r="AM546" s="233">
        <f>201*0.9/1.6</f>
        <v>113.0625</v>
      </c>
      <c r="AN546" s="290">
        <f t="shared" ref="AN546:AN558" si="106">AM546*1.3</f>
        <v>146.98125000000002</v>
      </c>
      <c r="AO546" s="290">
        <f t="shared" ref="AO546:AO558" si="107">AM546*1.48</f>
        <v>167.33250000000001</v>
      </c>
      <c r="AP546" s="290">
        <f t="shared" ref="AP546:AP558" si="108">AM546*1.3</f>
        <v>146.98125000000002</v>
      </c>
      <c r="AQ546" s="290">
        <f t="shared" ref="AQ546:AQ558" si="109">AM546*1.4</f>
        <v>158.28749999999999</v>
      </c>
      <c r="AR546" s="290">
        <f t="shared" ref="AR546:AR558" si="110">AM546*1.6</f>
        <v>180.9</v>
      </c>
    </row>
    <row r="547" spans="1:44" s="43" customFormat="1" ht="15.75" hidden="1" thickBot="1">
      <c r="A547" s="84"/>
      <c r="B547" s="51">
        <v>23</v>
      </c>
      <c r="C547" s="35" t="s">
        <v>783</v>
      </c>
      <c r="D547" s="35" t="s">
        <v>774</v>
      </c>
      <c r="E547" s="244" t="str">
        <f t="shared" si="103"/>
        <v/>
      </c>
      <c r="F547" s="193"/>
      <c r="G547" s="274"/>
      <c r="I547" s="30"/>
      <c r="J547" s="73"/>
      <c r="K547" s="139"/>
      <c r="L547" s="139"/>
      <c r="M547" s="206" t="e">
        <f>INDEX($W$545:$AB$558,VLOOKUP(C547,$U$545:$V$558,2,FALSE),HLOOKUP(D547,$W$543:$AB$544,2,FALSE))</f>
        <v>#N/A</v>
      </c>
      <c r="N547" s="139"/>
      <c r="O547" s="139"/>
      <c r="P547" s="139"/>
      <c r="Q547" s="139"/>
      <c r="U547" s="74" t="s">
        <v>329</v>
      </c>
      <c r="V547" s="43">
        <v>3</v>
      </c>
      <c r="W547" s="294">
        <f t="shared" si="104"/>
        <v>532.74374999999998</v>
      </c>
      <c r="X547" s="294">
        <f t="shared" si="104"/>
        <v>692.56687499999998</v>
      </c>
      <c r="Y547" s="294">
        <f t="shared" si="104"/>
        <v>788.46074999999996</v>
      </c>
      <c r="Z547" s="294">
        <f t="shared" si="104"/>
        <v>692.56687499999998</v>
      </c>
      <c r="AA547" s="294">
        <f t="shared" si="104"/>
        <v>745.84124999999995</v>
      </c>
      <c r="AB547" s="294">
        <f t="shared" si="104"/>
        <v>852.39</v>
      </c>
      <c r="AE547" s="233">
        <f t="shared" si="105"/>
        <v>266.37187499999999</v>
      </c>
      <c r="AF547" s="233">
        <f t="shared" si="105"/>
        <v>346.28343749999999</v>
      </c>
      <c r="AG547" s="233">
        <f t="shared" si="105"/>
        <v>394.23037499999998</v>
      </c>
      <c r="AH547" s="233">
        <f t="shared" si="105"/>
        <v>346.28343749999999</v>
      </c>
      <c r="AI547" s="233">
        <f t="shared" si="105"/>
        <v>372.92062499999997</v>
      </c>
      <c r="AJ547" s="233">
        <f t="shared" si="105"/>
        <v>426.19499999999999</v>
      </c>
      <c r="AM547" s="233">
        <f>287*0.9/1.6</f>
        <v>161.4375</v>
      </c>
      <c r="AN547" s="290">
        <f t="shared" si="106"/>
        <v>209.86875000000001</v>
      </c>
      <c r="AO547" s="290">
        <f t="shared" si="107"/>
        <v>238.92750000000001</v>
      </c>
      <c r="AP547" s="290">
        <f t="shared" si="108"/>
        <v>209.86875000000001</v>
      </c>
      <c r="AQ547" s="290">
        <f t="shared" si="109"/>
        <v>226.01249999999999</v>
      </c>
      <c r="AR547" s="290">
        <f t="shared" si="110"/>
        <v>258.3</v>
      </c>
    </row>
    <row r="548" spans="1:44" s="43" customFormat="1" ht="15.75" hidden="1" thickBot="1">
      <c r="A548" s="84"/>
      <c r="B548" s="51">
        <v>23</v>
      </c>
      <c r="C548" s="35" t="s">
        <v>783</v>
      </c>
      <c r="D548" s="35" t="s">
        <v>774</v>
      </c>
      <c r="E548" s="244" t="str">
        <f t="shared" si="103"/>
        <v/>
      </c>
      <c r="F548" s="193"/>
      <c r="G548" s="274"/>
      <c r="I548" s="30"/>
      <c r="J548" s="73"/>
      <c r="K548" s="139"/>
      <c r="L548" s="139"/>
      <c r="M548" s="206" t="e">
        <f>INDEX($W$545:$AB$558,VLOOKUP(C548,$U$545:$V$558,2,FALSE),HLOOKUP(D548,$W$543:$AB$544,2,FALSE))</f>
        <v>#N/A</v>
      </c>
      <c r="N548" s="139"/>
      <c r="O548" s="139"/>
      <c r="P548" s="139"/>
      <c r="Q548" s="139"/>
      <c r="U548" s="74" t="s">
        <v>299</v>
      </c>
      <c r="V548" s="43">
        <v>4</v>
      </c>
      <c r="W548" s="294">
        <f t="shared" si="104"/>
        <v>157.78125</v>
      </c>
      <c r="X548" s="294">
        <f t="shared" si="104"/>
        <v>205.11562499999999</v>
      </c>
      <c r="Y548" s="294">
        <f t="shared" si="104"/>
        <v>233.51624999999999</v>
      </c>
      <c r="Z548" s="294">
        <f t="shared" si="104"/>
        <v>205.11562499999999</v>
      </c>
      <c r="AA548" s="294">
        <f t="shared" si="104"/>
        <v>220.89374999999998</v>
      </c>
      <c r="AB548" s="294">
        <f t="shared" si="104"/>
        <v>252.45</v>
      </c>
      <c r="AE548" s="233">
        <f t="shared" si="105"/>
        <v>78.890625</v>
      </c>
      <c r="AF548" s="233">
        <f t="shared" si="105"/>
        <v>102.5578125</v>
      </c>
      <c r="AG548" s="233">
        <f t="shared" si="105"/>
        <v>116.75812499999999</v>
      </c>
      <c r="AH548" s="233">
        <f t="shared" si="105"/>
        <v>102.5578125</v>
      </c>
      <c r="AI548" s="233">
        <f t="shared" si="105"/>
        <v>110.44687499999999</v>
      </c>
      <c r="AJ548" s="233">
        <f t="shared" si="105"/>
        <v>126.22499999999999</v>
      </c>
      <c r="AM548" s="233">
        <f>85*0.9/1.6+(26*$E$5)*0.9/1.6</f>
        <v>47.8125</v>
      </c>
      <c r="AN548" s="290">
        <f t="shared" si="106"/>
        <v>62.15625</v>
      </c>
      <c r="AO548" s="290">
        <f t="shared" si="107"/>
        <v>70.762500000000003</v>
      </c>
      <c r="AP548" s="290">
        <f t="shared" si="108"/>
        <v>62.15625</v>
      </c>
      <c r="AQ548" s="290">
        <f t="shared" si="109"/>
        <v>66.9375</v>
      </c>
      <c r="AR548" s="290">
        <f t="shared" si="110"/>
        <v>76.5</v>
      </c>
    </row>
    <row r="549" spans="1:44" s="43" customFormat="1" ht="15.75" hidden="1" thickBot="1">
      <c r="A549" s="84"/>
      <c r="B549" s="51">
        <v>23</v>
      </c>
      <c r="C549" s="35" t="s">
        <v>783</v>
      </c>
      <c r="D549" s="35" t="s">
        <v>774</v>
      </c>
      <c r="E549" s="244" t="str">
        <f t="shared" si="103"/>
        <v/>
      </c>
      <c r="F549" s="193"/>
      <c r="G549" s="274"/>
      <c r="I549" s="30"/>
      <c r="J549" s="73"/>
      <c r="K549" s="139"/>
      <c r="L549" s="139"/>
      <c r="M549" s="206" t="e">
        <f>INDEX($W$545:$AB$558,VLOOKUP(C549,$U$545:$V$558,2,FALSE),HLOOKUP(D549,$W$543:$AB$544,2,FALSE))</f>
        <v>#N/A</v>
      </c>
      <c r="N549" s="139"/>
      <c r="O549" s="139"/>
      <c r="P549" s="139"/>
      <c r="Q549" s="139"/>
      <c r="U549" s="74" t="s">
        <v>300</v>
      </c>
      <c r="V549" s="43">
        <v>5</v>
      </c>
      <c r="W549" s="294">
        <f t="shared" si="104"/>
        <v>157.78125</v>
      </c>
      <c r="X549" s="294">
        <f t="shared" si="104"/>
        <v>205.11562499999999</v>
      </c>
      <c r="Y549" s="294">
        <f t="shared" si="104"/>
        <v>233.51624999999999</v>
      </c>
      <c r="Z549" s="294">
        <f t="shared" si="104"/>
        <v>205.11562499999999</v>
      </c>
      <c r="AA549" s="294">
        <f t="shared" si="104"/>
        <v>220.89374999999998</v>
      </c>
      <c r="AB549" s="294">
        <f t="shared" si="104"/>
        <v>252.45</v>
      </c>
      <c r="AE549" s="233">
        <f t="shared" si="105"/>
        <v>78.890625</v>
      </c>
      <c r="AF549" s="233">
        <f t="shared" si="105"/>
        <v>102.5578125</v>
      </c>
      <c r="AG549" s="233">
        <f t="shared" si="105"/>
        <v>116.75812499999999</v>
      </c>
      <c r="AH549" s="233">
        <f t="shared" si="105"/>
        <v>102.5578125</v>
      </c>
      <c r="AI549" s="233">
        <f t="shared" si="105"/>
        <v>110.44687499999999</v>
      </c>
      <c r="AJ549" s="233">
        <f t="shared" si="105"/>
        <v>126.22499999999999</v>
      </c>
      <c r="AM549" s="233">
        <f>85*0.9/1.6+(56*$E$5)*0.9/1.6</f>
        <v>47.8125</v>
      </c>
      <c r="AN549" s="290">
        <f t="shared" si="106"/>
        <v>62.15625</v>
      </c>
      <c r="AO549" s="290">
        <f t="shared" si="107"/>
        <v>70.762500000000003</v>
      </c>
      <c r="AP549" s="290">
        <f t="shared" si="108"/>
        <v>62.15625</v>
      </c>
      <c r="AQ549" s="290">
        <f t="shared" si="109"/>
        <v>66.9375</v>
      </c>
      <c r="AR549" s="290">
        <f t="shared" si="110"/>
        <v>76.5</v>
      </c>
    </row>
    <row r="550" spans="1:44" s="43" customFormat="1" ht="15.75" hidden="1" thickBot="1">
      <c r="A550" s="84"/>
      <c r="B550" s="51">
        <v>23</v>
      </c>
      <c r="C550" s="35"/>
      <c r="D550" s="85"/>
      <c r="E550" s="244" t="str">
        <f t="shared" si="103"/>
        <v/>
      </c>
      <c r="F550" s="193"/>
      <c r="G550" s="274"/>
      <c r="H550" s="206"/>
      <c r="I550" s="30"/>
      <c r="J550" s="73"/>
      <c r="K550" s="139"/>
      <c r="L550" s="139"/>
      <c r="M550" s="139"/>
      <c r="N550" s="139"/>
      <c r="O550" s="139"/>
      <c r="P550" s="139"/>
      <c r="Q550" s="139"/>
      <c r="U550" s="74" t="s">
        <v>332</v>
      </c>
      <c r="V550" s="43">
        <v>6</v>
      </c>
      <c r="W550" s="294">
        <f t="shared" si="104"/>
        <v>645.97499999999991</v>
      </c>
      <c r="X550" s="294">
        <f t="shared" si="104"/>
        <v>839.76749999999981</v>
      </c>
      <c r="Y550" s="294">
        <f t="shared" si="104"/>
        <v>956.04299999999989</v>
      </c>
      <c r="Z550" s="294">
        <f t="shared" si="104"/>
        <v>839.76749999999981</v>
      </c>
      <c r="AA550" s="294">
        <f t="shared" si="104"/>
        <v>904.36499999999978</v>
      </c>
      <c r="AB550" s="294">
        <f t="shared" si="104"/>
        <v>1033.56</v>
      </c>
      <c r="AE550" s="233">
        <f t="shared" si="105"/>
        <v>322.98749999999995</v>
      </c>
      <c r="AF550" s="233">
        <f t="shared" si="105"/>
        <v>419.88374999999991</v>
      </c>
      <c r="AG550" s="233">
        <f t="shared" si="105"/>
        <v>478.02149999999995</v>
      </c>
      <c r="AH550" s="233">
        <f t="shared" si="105"/>
        <v>419.88374999999991</v>
      </c>
      <c r="AI550" s="233">
        <f t="shared" si="105"/>
        <v>452.18249999999989</v>
      </c>
      <c r="AJ550" s="233">
        <f t="shared" si="105"/>
        <v>516.78</v>
      </c>
      <c r="AM550" s="233">
        <f>348*0.9/1.6</f>
        <v>195.74999999999997</v>
      </c>
      <c r="AN550" s="290">
        <f t="shared" si="106"/>
        <v>254.47499999999997</v>
      </c>
      <c r="AO550" s="290">
        <f t="shared" si="107"/>
        <v>289.70999999999998</v>
      </c>
      <c r="AP550" s="290">
        <f t="shared" si="108"/>
        <v>254.47499999999997</v>
      </c>
      <c r="AQ550" s="290">
        <f t="shared" si="109"/>
        <v>274.04999999999995</v>
      </c>
      <c r="AR550" s="290">
        <f t="shared" si="110"/>
        <v>313.2</v>
      </c>
    </row>
    <row r="551" spans="1:44" s="43" customFormat="1" ht="15.75" hidden="1" thickBot="1">
      <c r="A551" s="84"/>
      <c r="B551" s="51">
        <v>23</v>
      </c>
      <c r="C551" s="35" t="s">
        <v>327</v>
      </c>
      <c r="D551" s="85"/>
      <c r="E551" s="244" t="str">
        <f t="shared" si="103"/>
        <v/>
      </c>
      <c r="F551" s="193"/>
      <c r="G551" s="274"/>
      <c r="I551" s="30"/>
      <c r="J551" s="73"/>
      <c r="K551" s="139"/>
      <c r="L551" s="139"/>
      <c r="M551" s="223">
        <f>N551*2</f>
        <v>70.537499999999994</v>
      </c>
      <c r="N551" s="223">
        <f>P551*O551</f>
        <v>35.268749999999997</v>
      </c>
      <c r="O551" s="43">
        <v>1.65</v>
      </c>
      <c r="P551" s="294">
        <f>38*0.9/1.6</f>
        <v>21.375</v>
      </c>
      <c r="Q551" s="139"/>
      <c r="U551" s="74" t="s">
        <v>784</v>
      </c>
      <c r="V551" s="43">
        <v>7</v>
      </c>
      <c r="W551" s="294">
        <f t="shared" si="104"/>
        <v>797.77499999999986</v>
      </c>
      <c r="X551" s="294">
        <f t="shared" si="104"/>
        <v>1037.1074999999998</v>
      </c>
      <c r="Y551" s="294">
        <f t="shared" si="104"/>
        <v>1180.7069999999999</v>
      </c>
      <c r="Z551" s="294">
        <f t="shared" si="104"/>
        <v>1037.1074999999998</v>
      </c>
      <c r="AA551" s="294">
        <f t="shared" si="104"/>
        <v>1116.8849999999998</v>
      </c>
      <c r="AB551" s="294">
        <f t="shared" si="104"/>
        <v>1276.4399999999998</v>
      </c>
      <c r="AE551" s="233">
        <f t="shared" si="105"/>
        <v>398.88749999999993</v>
      </c>
      <c r="AF551" s="233">
        <f t="shared" si="105"/>
        <v>518.55374999999992</v>
      </c>
      <c r="AG551" s="233">
        <f t="shared" si="105"/>
        <v>590.35349999999994</v>
      </c>
      <c r="AH551" s="233">
        <f t="shared" si="105"/>
        <v>518.55374999999992</v>
      </c>
      <c r="AI551" s="233">
        <f t="shared" si="105"/>
        <v>558.44249999999988</v>
      </c>
      <c r="AJ551" s="233">
        <f t="shared" si="105"/>
        <v>638.21999999999991</v>
      </c>
      <c r="AM551" s="233">
        <f>348*0.9/1.6+46</f>
        <v>241.74999999999997</v>
      </c>
      <c r="AN551" s="290">
        <f t="shared" si="106"/>
        <v>314.27499999999998</v>
      </c>
      <c r="AO551" s="290">
        <f t="shared" si="107"/>
        <v>357.78999999999996</v>
      </c>
      <c r="AP551" s="290">
        <f t="shared" si="108"/>
        <v>314.27499999999998</v>
      </c>
      <c r="AQ551" s="290">
        <f t="shared" si="109"/>
        <v>338.44999999999993</v>
      </c>
      <c r="AR551" s="290">
        <f t="shared" si="110"/>
        <v>386.79999999999995</v>
      </c>
    </row>
    <row r="552" spans="1:44" s="43" customFormat="1" ht="15.75" hidden="1" thickBot="1">
      <c r="A552" s="84"/>
      <c r="B552" s="51">
        <v>23</v>
      </c>
      <c r="C552" s="35" t="s">
        <v>328</v>
      </c>
      <c r="D552" s="85"/>
      <c r="E552" s="244" t="str">
        <f t="shared" si="103"/>
        <v/>
      </c>
      <c r="F552" s="193"/>
      <c r="G552" s="274"/>
      <c r="I552" s="30"/>
      <c r="J552" s="73"/>
      <c r="K552" s="139"/>
      <c r="L552" s="139"/>
      <c r="M552" s="223">
        <f t="shared" ref="M552:M558" si="111">N552*2</f>
        <v>215.05335365853659</v>
      </c>
      <c r="N552" s="223">
        <f t="shared" ref="N552:N558" si="112">P552*O552</f>
        <v>107.5266768292683</v>
      </c>
      <c r="O552" s="43">
        <v>1.65</v>
      </c>
      <c r="P552" s="294">
        <f>95/0.82*0.9/1.6</f>
        <v>65.167682926829272</v>
      </c>
      <c r="Q552" s="139"/>
      <c r="U552" s="74" t="s">
        <v>333</v>
      </c>
      <c r="V552" s="43">
        <v>8</v>
      </c>
      <c r="W552" s="294">
        <f t="shared" si="104"/>
        <v>666.39374999999995</v>
      </c>
      <c r="X552" s="294">
        <f t="shared" si="104"/>
        <v>866.31187499999999</v>
      </c>
      <c r="Y552" s="294">
        <f t="shared" si="104"/>
        <v>986.26274999999998</v>
      </c>
      <c r="Z552" s="294">
        <f t="shared" si="104"/>
        <v>866.31187499999999</v>
      </c>
      <c r="AA552" s="294">
        <f t="shared" si="104"/>
        <v>932.95124999999985</v>
      </c>
      <c r="AB552" s="294">
        <f t="shared" si="104"/>
        <v>1066.23</v>
      </c>
      <c r="AE552" s="233">
        <f t="shared" si="105"/>
        <v>333.19687499999998</v>
      </c>
      <c r="AF552" s="233">
        <f t="shared" si="105"/>
        <v>433.15593749999999</v>
      </c>
      <c r="AG552" s="233">
        <f t="shared" si="105"/>
        <v>493.13137499999999</v>
      </c>
      <c r="AH552" s="233">
        <f t="shared" si="105"/>
        <v>433.15593749999999</v>
      </c>
      <c r="AI552" s="233">
        <f t="shared" si="105"/>
        <v>466.47562499999992</v>
      </c>
      <c r="AJ552" s="233">
        <f t="shared" si="105"/>
        <v>533.11500000000001</v>
      </c>
      <c r="AM552" s="233">
        <f>359*0.9/1.6</f>
        <v>201.9375</v>
      </c>
      <c r="AN552" s="290">
        <f t="shared" si="106"/>
        <v>262.51875000000001</v>
      </c>
      <c r="AO552" s="290">
        <f t="shared" si="107"/>
        <v>298.86750000000001</v>
      </c>
      <c r="AP552" s="290">
        <f t="shared" si="108"/>
        <v>262.51875000000001</v>
      </c>
      <c r="AQ552" s="290">
        <f t="shared" si="109"/>
        <v>282.71249999999998</v>
      </c>
      <c r="AR552" s="290">
        <f t="shared" si="110"/>
        <v>323.10000000000002</v>
      </c>
    </row>
    <row r="553" spans="1:44" s="43" customFormat="1" ht="15.75" hidden="1" thickBot="1">
      <c r="A553" s="84"/>
      <c r="B553" s="52">
        <v>23</v>
      </c>
      <c r="C553" s="35" t="s">
        <v>330</v>
      </c>
      <c r="D553" s="71"/>
      <c r="E553" s="244" t="str">
        <f t="shared" si="103"/>
        <v/>
      </c>
      <c r="F553" s="72" t="s">
        <v>331</v>
      </c>
      <c r="G553" s="284"/>
      <c r="J553" s="73"/>
      <c r="K553" s="139"/>
      <c r="L553" s="139"/>
      <c r="M553" s="223">
        <f t="shared" si="111"/>
        <v>556.875</v>
      </c>
      <c r="N553" s="223">
        <f t="shared" si="112"/>
        <v>278.4375</v>
      </c>
      <c r="O553" s="43">
        <v>1.65</v>
      </c>
      <c r="P553" s="271">
        <f>300*0.9/1.6</f>
        <v>168.75</v>
      </c>
      <c r="Q553" s="139"/>
      <c r="U553" s="74" t="s">
        <v>334</v>
      </c>
      <c r="V553" s="43">
        <v>9</v>
      </c>
      <c r="W553" s="294">
        <f t="shared" si="104"/>
        <v>348.97499999999997</v>
      </c>
      <c r="X553" s="294">
        <f t="shared" si="104"/>
        <v>453.66749999999996</v>
      </c>
      <c r="Y553" s="294">
        <f t="shared" si="104"/>
        <v>516.48299999999995</v>
      </c>
      <c r="Z553" s="294">
        <f t="shared" si="104"/>
        <v>453.66749999999996</v>
      </c>
      <c r="AA553" s="294">
        <f t="shared" si="104"/>
        <v>488.56499999999994</v>
      </c>
      <c r="AB553" s="294">
        <f t="shared" si="104"/>
        <v>558.36</v>
      </c>
      <c r="AE553" s="233">
        <f t="shared" si="105"/>
        <v>174.48749999999998</v>
      </c>
      <c r="AF553" s="233">
        <f t="shared" si="105"/>
        <v>226.83374999999998</v>
      </c>
      <c r="AG553" s="233">
        <f t="shared" si="105"/>
        <v>258.24149999999997</v>
      </c>
      <c r="AH553" s="233">
        <f t="shared" si="105"/>
        <v>226.83374999999998</v>
      </c>
      <c r="AI553" s="233">
        <f t="shared" si="105"/>
        <v>244.28249999999997</v>
      </c>
      <c r="AJ553" s="233">
        <f t="shared" si="105"/>
        <v>279.18</v>
      </c>
      <c r="AM553" s="233">
        <f>188*0.9/1.6</f>
        <v>105.75</v>
      </c>
      <c r="AN553" s="290">
        <f t="shared" si="106"/>
        <v>137.47499999999999</v>
      </c>
      <c r="AO553" s="290">
        <f t="shared" si="107"/>
        <v>156.51</v>
      </c>
      <c r="AP553" s="290">
        <f t="shared" si="108"/>
        <v>137.47499999999999</v>
      </c>
      <c r="AQ553" s="290">
        <f t="shared" si="109"/>
        <v>148.04999999999998</v>
      </c>
      <c r="AR553" s="290">
        <f t="shared" si="110"/>
        <v>169.20000000000002</v>
      </c>
    </row>
    <row r="554" spans="1:44" s="43" customFormat="1" ht="15.75" hidden="1" thickBot="1">
      <c r="A554" s="84"/>
      <c r="B554" s="52"/>
      <c r="E554" s="244" t="str">
        <f t="shared" si="103"/>
        <v/>
      </c>
      <c r="J554" s="73"/>
      <c r="K554" s="139"/>
      <c r="L554" s="139"/>
      <c r="M554" s="223">
        <f t="shared" si="111"/>
        <v>0</v>
      </c>
      <c r="N554" s="223">
        <f t="shared" si="112"/>
        <v>0</v>
      </c>
      <c r="O554" s="43">
        <v>1.65</v>
      </c>
      <c r="P554" s="249"/>
      <c r="Q554" s="139"/>
      <c r="U554" s="74" t="s">
        <v>785</v>
      </c>
      <c r="V554" s="43">
        <v>10</v>
      </c>
      <c r="W554" s="294">
        <f t="shared" si="104"/>
        <v>500.06511627906974</v>
      </c>
      <c r="X554" s="294">
        <f t="shared" si="104"/>
        <v>650.08465116279058</v>
      </c>
      <c r="Y554" s="294">
        <f t="shared" si="104"/>
        <v>740.09637209302321</v>
      </c>
      <c r="Z554" s="294">
        <f t="shared" si="104"/>
        <v>650.08465116279058</v>
      </c>
      <c r="AA554" s="294">
        <f t="shared" si="104"/>
        <v>700.09116279069758</v>
      </c>
      <c r="AB554" s="294">
        <f t="shared" si="104"/>
        <v>800.10418604651159</v>
      </c>
      <c r="AE554" s="233">
        <f t="shared" si="105"/>
        <v>250.03255813953487</v>
      </c>
      <c r="AF554" s="233">
        <f t="shared" si="105"/>
        <v>325.04232558139529</v>
      </c>
      <c r="AG554" s="233">
        <f t="shared" si="105"/>
        <v>370.0481860465116</v>
      </c>
      <c r="AH554" s="233">
        <f t="shared" si="105"/>
        <v>325.04232558139529</v>
      </c>
      <c r="AI554" s="233">
        <f t="shared" si="105"/>
        <v>350.04558139534879</v>
      </c>
      <c r="AJ554" s="233">
        <f t="shared" si="105"/>
        <v>400.05209302325579</v>
      </c>
      <c r="AM554" s="233">
        <f>188*0.9/1.6+70/0.86*0.9/1.6</f>
        <v>151.53488372093022</v>
      </c>
      <c r="AN554" s="290">
        <f t="shared" si="106"/>
        <v>196.99534883720929</v>
      </c>
      <c r="AO554" s="290">
        <f t="shared" si="107"/>
        <v>224.27162790697673</v>
      </c>
      <c r="AP554" s="290">
        <f t="shared" si="108"/>
        <v>196.99534883720929</v>
      </c>
      <c r="AQ554" s="290">
        <f t="shared" si="109"/>
        <v>212.14883720930231</v>
      </c>
      <c r="AR554" s="290">
        <f t="shared" si="110"/>
        <v>242.45581395348836</v>
      </c>
    </row>
    <row r="555" spans="1:44" s="43" customFormat="1" ht="15.75" hidden="1" thickBot="1">
      <c r="A555" s="84"/>
      <c r="B555" s="51">
        <v>23</v>
      </c>
      <c r="C555" s="193" t="s">
        <v>338</v>
      </c>
      <c r="D555" s="85"/>
      <c r="E555" s="244" t="str">
        <f t="shared" si="103"/>
        <v/>
      </c>
      <c r="F555" s="193"/>
      <c r="G555" s="274"/>
      <c r="I555" s="30"/>
      <c r="J555" s="73"/>
      <c r="K555" s="139"/>
      <c r="L555" s="139"/>
      <c r="M555" s="223">
        <f t="shared" si="111"/>
        <v>33.412499999999994</v>
      </c>
      <c r="N555" s="223">
        <f t="shared" si="112"/>
        <v>16.706249999999997</v>
      </c>
      <c r="O555" s="43">
        <v>1.65</v>
      </c>
      <c r="P555" s="294">
        <f>18*0.9/1.6</f>
        <v>10.124999999999998</v>
      </c>
      <c r="Q555" s="139"/>
      <c r="U555" s="74" t="s">
        <v>335</v>
      </c>
      <c r="V555" s="43">
        <v>11</v>
      </c>
      <c r="W555" s="294">
        <f t="shared" si="104"/>
        <v>779.625</v>
      </c>
      <c r="X555" s="294">
        <f t="shared" si="104"/>
        <v>1013.5124999999999</v>
      </c>
      <c r="Y555" s="294">
        <f t="shared" si="104"/>
        <v>1153.8449999999998</v>
      </c>
      <c r="Z555" s="294">
        <f t="shared" si="104"/>
        <v>1013.5124999999999</v>
      </c>
      <c r="AA555" s="294">
        <f t="shared" si="104"/>
        <v>1091.4749999999999</v>
      </c>
      <c r="AB555" s="294">
        <f t="shared" si="104"/>
        <v>1247.3999999999999</v>
      </c>
      <c r="AE555" s="233">
        <f t="shared" si="105"/>
        <v>389.8125</v>
      </c>
      <c r="AF555" s="233">
        <f t="shared" si="105"/>
        <v>506.75624999999997</v>
      </c>
      <c r="AG555" s="233">
        <f t="shared" si="105"/>
        <v>576.9224999999999</v>
      </c>
      <c r="AH555" s="233">
        <f t="shared" si="105"/>
        <v>506.75624999999997</v>
      </c>
      <c r="AI555" s="233">
        <f t="shared" si="105"/>
        <v>545.73749999999995</v>
      </c>
      <c r="AJ555" s="233">
        <f t="shared" si="105"/>
        <v>623.69999999999993</v>
      </c>
      <c r="AM555" s="233">
        <f>420*0.9/1.6</f>
        <v>236.25</v>
      </c>
      <c r="AN555" s="290">
        <f t="shared" si="106"/>
        <v>307.125</v>
      </c>
      <c r="AO555" s="290">
        <f t="shared" si="107"/>
        <v>349.65</v>
      </c>
      <c r="AP555" s="290">
        <f t="shared" si="108"/>
        <v>307.125</v>
      </c>
      <c r="AQ555" s="290">
        <f t="shared" si="109"/>
        <v>330.75</v>
      </c>
      <c r="AR555" s="290">
        <f t="shared" si="110"/>
        <v>378</v>
      </c>
    </row>
    <row r="556" spans="1:44" s="43" customFormat="1" ht="15.75" hidden="1" thickBot="1">
      <c r="A556" s="84"/>
      <c r="B556" s="51">
        <v>23</v>
      </c>
      <c r="C556" s="193" t="s">
        <v>339</v>
      </c>
      <c r="D556" s="85"/>
      <c r="E556" s="244" t="str">
        <f t="shared" si="103"/>
        <v/>
      </c>
      <c r="F556" s="35" t="s">
        <v>179</v>
      </c>
      <c r="G556" s="274"/>
      <c r="I556" s="30"/>
      <c r="J556" s="73"/>
      <c r="K556" s="139"/>
      <c r="L556" s="139"/>
      <c r="M556" s="223">
        <f t="shared" si="111"/>
        <v>22.274999999999999</v>
      </c>
      <c r="N556" s="223">
        <f t="shared" si="112"/>
        <v>11.137499999999999</v>
      </c>
      <c r="O556" s="43">
        <v>1.65</v>
      </c>
      <c r="P556" s="294">
        <f>12*0.9/1.6</f>
        <v>6.75</v>
      </c>
      <c r="Q556" s="139"/>
      <c r="U556" s="74" t="s">
        <v>786</v>
      </c>
      <c r="V556" s="43">
        <v>12</v>
      </c>
      <c r="W556" s="294">
        <f t="shared" si="104"/>
        <v>930.71511627906966</v>
      </c>
      <c r="X556" s="294">
        <f t="shared" si="104"/>
        <v>1209.9296511627906</v>
      </c>
      <c r="Y556" s="294">
        <f t="shared" si="104"/>
        <v>1377.4583720930232</v>
      </c>
      <c r="Z556" s="294">
        <f t="shared" si="104"/>
        <v>1209.9296511627906</v>
      </c>
      <c r="AA556" s="294">
        <f t="shared" si="104"/>
        <v>1303.0011627906974</v>
      </c>
      <c r="AB556" s="294">
        <f t="shared" si="104"/>
        <v>1489.1441860465115</v>
      </c>
      <c r="AE556" s="233">
        <f t="shared" si="105"/>
        <v>465.35755813953483</v>
      </c>
      <c r="AF556" s="233">
        <f t="shared" si="105"/>
        <v>604.9648255813953</v>
      </c>
      <c r="AG556" s="233">
        <f t="shared" si="105"/>
        <v>688.72918604651159</v>
      </c>
      <c r="AH556" s="233">
        <f t="shared" si="105"/>
        <v>604.9648255813953</v>
      </c>
      <c r="AI556" s="233">
        <f t="shared" si="105"/>
        <v>651.50058139534872</v>
      </c>
      <c r="AJ556" s="233">
        <f t="shared" si="105"/>
        <v>744.57209302325577</v>
      </c>
      <c r="AM556" s="233">
        <f>420*0.9/1.6+70/0.86*0.9/1.6</f>
        <v>282.03488372093022</v>
      </c>
      <c r="AN556" s="290">
        <f t="shared" si="106"/>
        <v>366.64534883720933</v>
      </c>
      <c r="AO556" s="290">
        <f t="shared" si="107"/>
        <v>417.41162790697672</v>
      </c>
      <c r="AP556" s="290">
        <f t="shared" si="108"/>
        <v>366.64534883720933</v>
      </c>
      <c r="AQ556" s="290">
        <f t="shared" si="109"/>
        <v>394.8488372093023</v>
      </c>
      <c r="AR556" s="290">
        <f t="shared" si="110"/>
        <v>451.25581395348837</v>
      </c>
    </row>
    <row r="557" spans="1:44" ht="15.75" hidden="1" thickBot="1">
      <c r="A557" s="84"/>
      <c r="B557" s="51">
        <v>23</v>
      </c>
      <c r="C557" s="35" t="s">
        <v>340</v>
      </c>
      <c r="E557" s="244" t="str">
        <f t="shared" si="103"/>
        <v/>
      </c>
      <c r="F557" s="193"/>
      <c r="G557" s="274"/>
      <c r="J557" s="73"/>
      <c r="K557" s="139"/>
      <c r="L557" s="139"/>
      <c r="M557" s="223">
        <f t="shared" si="111"/>
        <v>319.1844512195122</v>
      </c>
      <c r="N557" s="223">
        <f t="shared" si="112"/>
        <v>159.5922256097561</v>
      </c>
      <c r="O557" s="43">
        <v>1.65</v>
      </c>
      <c r="P557" s="294">
        <f>141/0.82*0.9/1.6</f>
        <v>96.722560975609767</v>
      </c>
      <c r="Q557" s="139"/>
      <c r="R557" s="43"/>
      <c r="T557" s="43"/>
      <c r="U557" s="74" t="s">
        <v>336</v>
      </c>
      <c r="V557" s="30">
        <v>13</v>
      </c>
      <c r="W557" s="294">
        <f t="shared" si="104"/>
        <v>820.20348837209292</v>
      </c>
      <c r="X557" s="294">
        <f t="shared" si="104"/>
        <v>1066.2645348837209</v>
      </c>
      <c r="Y557" s="294">
        <f t="shared" si="104"/>
        <v>1213.9011627906975</v>
      </c>
      <c r="Z557" s="294">
        <f t="shared" si="104"/>
        <v>1066.2645348837209</v>
      </c>
      <c r="AA557" s="294">
        <f t="shared" si="104"/>
        <v>1148.2848837209301</v>
      </c>
      <c r="AB557" s="294">
        <f t="shared" si="104"/>
        <v>1312.3255813953488</v>
      </c>
      <c r="AC557" s="43"/>
      <c r="AD557" s="43"/>
      <c r="AE557" s="233">
        <f t="shared" si="105"/>
        <v>410.10174418604646</v>
      </c>
      <c r="AF557" s="233">
        <f t="shared" si="105"/>
        <v>533.13226744186045</v>
      </c>
      <c r="AG557" s="233">
        <f t="shared" si="105"/>
        <v>606.95058139534876</v>
      </c>
      <c r="AH557" s="233">
        <f t="shared" si="105"/>
        <v>533.13226744186045</v>
      </c>
      <c r="AI557" s="233">
        <f t="shared" si="105"/>
        <v>574.14244186046506</v>
      </c>
      <c r="AJ557" s="233">
        <f t="shared" si="105"/>
        <v>656.16279069767438</v>
      </c>
      <c r="AM557" s="233">
        <f>380/0.86*0.9/1.6</f>
        <v>248.54651162790697</v>
      </c>
      <c r="AN557" s="290">
        <f t="shared" si="106"/>
        <v>323.11046511627904</v>
      </c>
      <c r="AO557" s="290">
        <f t="shared" si="107"/>
        <v>367.8488372093023</v>
      </c>
      <c r="AP557" s="290">
        <f t="shared" si="108"/>
        <v>323.11046511627904</v>
      </c>
      <c r="AQ557" s="290">
        <f t="shared" si="109"/>
        <v>347.96511627906972</v>
      </c>
      <c r="AR557" s="290">
        <f t="shared" si="110"/>
        <v>397.67441860465118</v>
      </c>
    </row>
    <row r="558" spans="1:44" s="43" customFormat="1" ht="15.75" hidden="1" thickBot="1">
      <c r="A558" s="84"/>
      <c r="B558" s="51">
        <v>23</v>
      </c>
      <c r="C558" s="193" t="s">
        <v>341</v>
      </c>
      <c r="D558" s="85"/>
      <c r="E558" s="244" t="str">
        <f t="shared" si="103"/>
        <v/>
      </c>
      <c r="F558" s="193"/>
      <c r="G558" s="274"/>
      <c r="J558" s="73"/>
      <c r="K558" s="139"/>
      <c r="L558" s="139"/>
      <c r="M558" s="223">
        <f t="shared" si="111"/>
        <v>365.68124999999998</v>
      </c>
      <c r="N558" s="223">
        <f t="shared" si="112"/>
        <v>182.84062499999999</v>
      </c>
      <c r="O558" s="43">
        <v>1.65</v>
      </c>
      <c r="P558" s="294">
        <f>197*0.9/1.6</f>
        <v>110.8125</v>
      </c>
      <c r="Q558" s="139"/>
      <c r="U558" s="74" t="s">
        <v>337</v>
      </c>
      <c r="V558" s="43">
        <v>14</v>
      </c>
      <c r="W558" s="294">
        <f t="shared" si="104"/>
        <v>1122.3837209302324</v>
      </c>
      <c r="X558" s="294">
        <f t="shared" si="104"/>
        <v>1459.0988372093022</v>
      </c>
      <c r="Y558" s="294">
        <f t="shared" si="104"/>
        <v>1661.127906976744</v>
      </c>
      <c r="Z558" s="294">
        <f t="shared" si="104"/>
        <v>1459.0988372093022</v>
      </c>
      <c r="AA558" s="294">
        <f t="shared" si="104"/>
        <v>1571.3372093023252</v>
      </c>
      <c r="AB558" s="294">
        <f t="shared" si="104"/>
        <v>1795.8139534883719</v>
      </c>
      <c r="AE558" s="233">
        <f t="shared" si="105"/>
        <v>561.19186046511618</v>
      </c>
      <c r="AF558" s="233">
        <f t="shared" si="105"/>
        <v>729.54941860465112</v>
      </c>
      <c r="AG558" s="233">
        <f t="shared" si="105"/>
        <v>830.56395348837202</v>
      </c>
      <c r="AH558" s="233">
        <f t="shared" si="105"/>
        <v>729.54941860465112</v>
      </c>
      <c r="AI558" s="233">
        <f t="shared" si="105"/>
        <v>785.66860465116258</v>
      </c>
      <c r="AJ558" s="233">
        <f t="shared" si="105"/>
        <v>897.90697674418595</v>
      </c>
      <c r="AM558" s="233">
        <f>520/0.86*0.9/1.6</f>
        <v>340.11627906976742</v>
      </c>
      <c r="AN558" s="290">
        <f t="shared" si="106"/>
        <v>442.15116279069764</v>
      </c>
      <c r="AO558" s="290">
        <f t="shared" si="107"/>
        <v>503.37209302325579</v>
      </c>
      <c r="AP558" s="290">
        <f t="shared" si="108"/>
        <v>442.15116279069764</v>
      </c>
      <c r="AQ558" s="290">
        <f t="shared" si="109"/>
        <v>476.16279069767432</v>
      </c>
      <c r="AR558" s="290">
        <f t="shared" si="110"/>
        <v>544.18604651162786</v>
      </c>
    </row>
    <row r="559" spans="1:44" s="43" customFormat="1" ht="16.5" hidden="1" thickBot="1">
      <c r="A559" s="64" t="str">
        <f>IF(AM10=0,"","-")</f>
        <v/>
      </c>
      <c r="B559" s="65" t="s">
        <v>149</v>
      </c>
      <c r="C559" s="218" t="s">
        <v>227</v>
      </c>
      <c r="D559" s="66"/>
      <c r="E559" s="67"/>
      <c r="F559" s="68">
        <f>SUM(E560:E567)</f>
        <v>0</v>
      </c>
      <c r="G559" s="225"/>
      <c r="H559" s="139"/>
      <c r="J559" s="73"/>
      <c r="K559" s="139"/>
      <c r="L559" s="139"/>
      <c r="M559" s="139"/>
      <c r="N559" s="139"/>
      <c r="O559" s="139"/>
      <c r="P559" s="139"/>
      <c r="Q559" s="139"/>
    </row>
    <row r="560" spans="1:44" s="43" customFormat="1" ht="30.75" hidden="1" thickBot="1">
      <c r="A560" s="236" t="str">
        <f>IF(ISBLANK(A71),"",1)</f>
        <v/>
      </c>
      <c r="B560" s="52">
        <v>19</v>
      </c>
      <c r="C560" s="193" t="s">
        <v>787</v>
      </c>
      <c r="D560" s="74"/>
      <c r="E560" s="221" t="str">
        <f>IF(A560="","",(A560*M560*(1-$H$3)))</f>
        <v/>
      </c>
      <c r="F560" s="35" t="s">
        <v>228</v>
      </c>
      <c r="J560" s="73"/>
      <c r="K560" s="139"/>
      <c r="L560" s="139"/>
      <c r="M560" s="223">
        <f>N560*2</f>
        <v>1440.65625</v>
      </c>
      <c r="N560" s="223">
        <f>P560*O560</f>
        <v>720.328125</v>
      </c>
      <c r="O560" s="43">
        <v>1.65</v>
      </c>
      <c r="P560" s="224">
        <f>(665+($E$5*25)+100/0.9)*0.9/1.6</f>
        <v>436.5625</v>
      </c>
      <c r="Q560" s="139"/>
    </row>
    <row r="561" spans="1:35" s="43" customFormat="1" ht="30.75" hidden="1" thickBot="1">
      <c r="A561" s="69"/>
      <c r="B561" s="52">
        <v>19</v>
      </c>
      <c r="C561" s="193" t="s">
        <v>229</v>
      </c>
      <c r="D561" s="74"/>
      <c r="E561" s="244" t="str">
        <f t="shared" si="103"/>
        <v/>
      </c>
      <c r="F561" s="35" t="s">
        <v>228</v>
      </c>
      <c r="G561" s="229"/>
      <c r="J561" s="73"/>
      <c r="K561" s="139"/>
      <c r="L561" s="139"/>
      <c r="M561" s="223">
        <f t="shared" ref="M561:M567" si="113">N561*2</f>
        <v>348.97499999999997</v>
      </c>
      <c r="N561" s="223">
        <f t="shared" ref="N561:N567" si="114">P561*O561</f>
        <v>174.48749999999998</v>
      </c>
      <c r="O561" s="43">
        <v>1.65</v>
      </c>
      <c r="P561" s="224">
        <f>188*0.9/1.6</f>
        <v>105.75</v>
      </c>
      <c r="Q561" s="139"/>
      <c r="AE561" s="30"/>
      <c r="AF561" s="30"/>
      <c r="AG561" s="30"/>
      <c r="AH561" s="30"/>
      <c r="AI561" s="30"/>
    </row>
    <row r="562" spans="1:35" s="43" customFormat="1" ht="16.5" hidden="1" thickBot="1">
      <c r="A562" s="69"/>
      <c r="B562" s="52">
        <v>19</v>
      </c>
      <c r="C562" s="194" t="s">
        <v>788</v>
      </c>
      <c r="D562" s="74"/>
      <c r="E562" s="244" t="str">
        <f t="shared" si="103"/>
        <v/>
      </c>
      <c r="F562" s="35" t="s">
        <v>228</v>
      </c>
      <c r="J562" s="73"/>
      <c r="K562" s="139"/>
      <c r="L562" s="139"/>
      <c r="M562" s="223">
        <f t="shared" si="113"/>
        <v>10.072674418604649</v>
      </c>
      <c r="N562" s="223">
        <f t="shared" si="114"/>
        <v>5.0363372093023244</v>
      </c>
      <c r="O562" s="43">
        <v>1.65</v>
      </c>
      <c r="P562" s="224">
        <f>3.5/0.86*$E$9*0.9/1.6</f>
        <v>3.0523255813953485</v>
      </c>
      <c r="Q562" s="139"/>
    </row>
    <row r="563" spans="1:35" s="43" customFormat="1" ht="15.75" hidden="1" thickBot="1">
      <c r="A563" s="69"/>
      <c r="B563" s="52">
        <v>19</v>
      </c>
      <c r="C563" s="193" t="s">
        <v>789</v>
      </c>
      <c r="D563" s="74"/>
      <c r="E563" s="244" t="str">
        <f t="shared" si="103"/>
        <v/>
      </c>
      <c r="F563" s="35" t="s">
        <v>614</v>
      </c>
      <c r="J563" s="73"/>
      <c r="K563" s="139"/>
      <c r="L563" s="139"/>
      <c r="M563" s="223">
        <f t="shared" si="113"/>
        <v>2117.9999999999991</v>
      </c>
      <c r="N563" s="223">
        <f t="shared" si="114"/>
        <v>1058.9999999999995</v>
      </c>
      <c r="O563" s="43">
        <v>1.65</v>
      </c>
      <c r="P563" s="224">
        <f>1059/0.928125*0.9/1.6</f>
        <v>641.81818181818164</v>
      </c>
      <c r="Q563" s="139"/>
    </row>
    <row r="564" spans="1:35" s="43" customFormat="1" ht="15.75" hidden="1" thickBot="1">
      <c r="A564" s="69"/>
      <c r="B564" s="52">
        <v>19</v>
      </c>
      <c r="C564" s="35" t="s">
        <v>230</v>
      </c>
      <c r="D564" s="74"/>
      <c r="E564" s="244" t="str">
        <f t="shared" si="103"/>
        <v/>
      </c>
      <c r="F564" s="35" t="s">
        <v>228</v>
      </c>
      <c r="G564" s="229"/>
      <c r="J564" s="73"/>
      <c r="K564" s="139"/>
      <c r="L564" s="139"/>
      <c r="M564" s="223">
        <f t="shared" si="113"/>
        <v>918.84375</v>
      </c>
      <c r="N564" s="223">
        <f t="shared" si="114"/>
        <v>459.421875</v>
      </c>
      <c r="O564" s="43">
        <v>1.65</v>
      </c>
      <c r="P564" s="224">
        <f>495*0.9/1.6</f>
        <v>278.4375</v>
      </c>
      <c r="Q564" s="139"/>
    </row>
    <row r="565" spans="1:35" s="43" customFormat="1" ht="15.75" hidden="1" thickBot="1">
      <c r="A565" s="69"/>
      <c r="B565" s="52">
        <v>19</v>
      </c>
      <c r="C565" s="35" t="s">
        <v>231</v>
      </c>
      <c r="D565" s="71"/>
      <c r="E565" s="244" t="str">
        <f t="shared" si="103"/>
        <v/>
      </c>
      <c r="F565" s="75"/>
      <c r="G565" s="284"/>
      <c r="I565" s="266"/>
      <c r="J565" s="73"/>
      <c r="K565" s="139"/>
      <c r="L565" s="139"/>
      <c r="M565" s="223">
        <f t="shared" si="113"/>
        <v>2065.6177325581393</v>
      </c>
      <c r="N565" s="223">
        <f t="shared" si="114"/>
        <v>1032.8088662790697</v>
      </c>
      <c r="O565" s="43">
        <v>1.65</v>
      </c>
      <c r="P565" s="271">
        <f>957/0.86*0.9/1.6</f>
        <v>625.94476744186045</v>
      </c>
      <c r="Q565" s="139"/>
    </row>
    <row r="566" spans="1:35" s="43" customFormat="1" ht="15.75" hidden="1" thickBot="1">
      <c r="A566" s="69"/>
      <c r="B566" s="52">
        <v>19</v>
      </c>
      <c r="C566" s="35" t="s">
        <v>232</v>
      </c>
      <c r="D566" s="35"/>
      <c r="E566" s="244" t="str">
        <f t="shared" si="103"/>
        <v/>
      </c>
      <c r="F566" s="35"/>
      <c r="G566" s="225"/>
      <c r="J566" s="73"/>
      <c r="K566" s="139"/>
      <c r="L566" s="139"/>
      <c r="M566" s="223">
        <f t="shared" si="113"/>
        <v>105.80624999999999</v>
      </c>
      <c r="N566" s="223">
        <f t="shared" si="114"/>
        <v>52.903124999999996</v>
      </c>
      <c r="O566" s="43">
        <v>1.65</v>
      </c>
      <c r="P566" s="224">
        <f>57*0.9/1.6</f>
        <v>32.0625</v>
      </c>
      <c r="Q566" s="139"/>
    </row>
    <row r="567" spans="1:35" s="43" customFormat="1" ht="15.75" hidden="1" thickBot="1">
      <c r="A567" s="69"/>
      <c r="B567" s="52">
        <v>19</v>
      </c>
      <c r="C567" s="35" t="s">
        <v>233</v>
      </c>
      <c r="D567" s="35"/>
      <c r="E567" s="244" t="str">
        <f t="shared" si="103"/>
        <v/>
      </c>
      <c r="F567" s="35"/>
      <c r="G567" s="225"/>
      <c r="J567" s="73"/>
      <c r="K567" s="139"/>
      <c r="L567" s="139"/>
      <c r="M567" s="223">
        <f t="shared" si="113"/>
        <v>105.80624999999999</v>
      </c>
      <c r="N567" s="223">
        <f t="shared" si="114"/>
        <v>52.903124999999996</v>
      </c>
      <c r="O567" s="43">
        <v>1.65</v>
      </c>
      <c r="P567" s="224">
        <f>57*0.9/1.6</f>
        <v>32.0625</v>
      </c>
      <c r="Q567" s="139"/>
    </row>
    <row r="568" spans="1:35" s="43" customFormat="1" ht="16.5" hidden="1" thickBot="1">
      <c r="A568" s="90" t="str">
        <f>IF(AM11=0,"","-")</f>
        <v/>
      </c>
      <c r="B568" s="90" t="s">
        <v>149</v>
      </c>
      <c r="C568" s="218" t="s">
        <v>424</v>
      </c>
      <c r="D568" s="240"/>
      <c r="E568" s="241"/>
      <c r="F568" s="68">
        <f>SUM(E569:E604)</f>
        <v>0</v>
      </c>
      <c r="H568" s="242"/>
      <c r="J568" s="73"/>
      <c r="K568" s="139"/>
      <c r="L568" s="139"/>
      <c r="M568" s="139"/>
      <c r="N568" s="139"/>
      <c r="O568" s="139"/>
      <c r="P568" s="139"/>
      <c r="Q568" s="139"/>
    </row>
    <row r="569" spans="1:35" s="43" customFormat="1" ht="16.5" hidden="1" thickBot="1">
      <c r="A569" s="52"/>
      <c r="B569" s="52">
        <v>4</v>
      </c>
      <c r="C569" s="260" t="str">
        <f>"Front Hoistway Frames ("&amp;$C$9&amp;") Finish: "&amp;F569</f>
        <v>Front Hoistway Frames () Finish: * Select Finish *</v>
      </c>
      <c r="D569" s="295"/>
      <c r="E569" s="244" t="str">
        <f t="shared" si="103"/>
        <v/>
      </c>
      <c r="F569" s="296" t="s">
        <v>649</v>
      </c>
      <c r="J569" s="73"/>
      <c r="K569" s="139"/>
      <c r="L569" s="139"/>
      <c r="M569" s="272" t="e">
        <f>INDEX($T$217:$W$224,VLOOKUP(F569,$AA$217:$AB$224,2,FALSE),VLOOKUP($C$9,$AD$217:$AE$220,2,FALSE))</f>
        <v>#N/A</v>
      </c>
      <c r="N569" s="292" t="s">
        <v>790</v>
      </c>
      <c r="O569" s="139"/>
      <c r="P569" s="139"/>
      <c r="Q569" s="139"/>
    </row>
    <row r="570" spans="1:35" s="43" customFormat="1" ht="16.5" hidden="1" thickBot="1">
      <c r="A570" s="52"/>
      <c r="B570" s="52">
        <v>4</v>
      </c>
      <c r="C570" s="260" t="str">
        <f>"Front Hoistway Frames ("&amp;$C$9&amp;") Finish: "&amp;F570</f>
        <v>Front Hoistway Frames () Finish: * Select Finish *</v>
      </c>
      <c r="D570" s="295"/>
      <c r="E570" s="244" t="str">
        <f>IF(ISBLANK(A570),"",(A570*M570*(1-$H$3)))</f>
        <v/>
      </c>
      <c r="F570" s="296" t="s">
        <v>649</v>
      </c>
      <c r="J570" s="73"/>
      <c r="K570" s="139"/>
      <c r="L570" s="139"/>
      <c r="M570" s="272" t="e">
        <f>INDEX($T$217:$W$224,VLOOKUP(F570,$AA$217:$AB$224,2,FALSE),VLOOKUP($C$9,$AD$217:$AE$220,2,FALSE))</f>
        <v>#N/A</v>
      </c>
      <c r="N570" s="292" t="s">
        <v>790</v>
      </c>
      <c r="O570" s="139"/>
      <c r="P570" s="139"/>
      <c r="Q570" s="139"/>
    </row>
    <row r="571" spans="1:35" s="43" customFormat="1" ht="16.5" hidden="1" thickBot="1">
      <c r="A571" s="52"/>
      <c r="B571" s="52">
        <v>4</v>
      </c>
      <c r="C571" s="260" t="str">
        <f>"Front Hoistway Frames ("&amp;$C$9&amp;") Finish: "&amp;F571</f>
        <v>Front Hoistway Frames () Finish: * Select Finish *</v>
      </c>
      <c r="D571" s="295"/>
      <c r="E571" s="244" t="str">
        <f t="shared" si="103"/>
        <v/>
      </c>
      <c r="F571" s="296" t="s">
        <v>649</v>
      </c>
      <c r="J571" s="73"/>
      <c r="K571" s="139"/>
      <c r="L571" s="139"/>
      <c r="M571" s="272" t="e">
        <f>INDEX($T$217:$W$224,VLOOKUP(F571,$AA$217:$AB$224,2,FALSE),VLOOKUP($C$9,$AD$217:$AE$220,2,FALSE))</f>
        <v>#N/A</v>
      </c>
      <c r="N571" s="292" t="s">
        <v>790</v>
      </c>
      <c r="O571" s="139"/>
      <c r="P571" s="139"/>
      <c r="Q571" s="139"/>
    </row>
    <row r="572" spans="1:35" s="43" customFormat="1" ht="16.5" hidden="1" thickBot="1">
      <c r="A572" s="52"/>
      <c r="B572" s="52">
        <v>4</v>
      </c>
      <c r="C572" s="35" t="str">
        <f>"Rear Hoistway Frames ("&amp;$C$10&amp;") Finish: "&amp;F572</f>
        <v>Rear Hoistway Frames () Finish: * Select Finish *</v>
      </c>
      <c r="D572" s="295"/>
      <c r="E572" s="244" t="str">
        <f t="shared" si="103"/>
        <v/>
      </c>
      <c r="F572" s="296" t="s">
        <v>649</v>
      </c>
      <c r="J572" s="73"/>
      <c r="K572" s="139"/>
      <c r="L572" s="139"/>
      <c r="M572" s="272" t="e">
        <f>INDEX($T$217:$W$224,VLOOKUP(F572,$AA$217:$AB$224,2,FALSE),VLOOKUP($C$10,$AD$217:$AE$220,2,FALSE))</f>
        <v>#N/A</v>
      </c>
      <c r="N572" s="292" t="s">
        <v>790</v>
      </c>
      <c r="O572" s="139"/>
      <c r="P572" s="139"/>
      <c r="Q572" s="139"/>
    </row>
    <row r="573" spans="1:35" s="43" customFormat="1" ht="16.5" hidden="1" thickBot="1">
      <c r="A573" s="52"/>
      <c r="B573" s="52">
        <v>4</v>
      </c>
      <c r="C573" s="35" t="str">
        <f>"Rear Hoistway Frames ("&amp;$C$10&amp;") Finish: "&amp;F573</f>
        <v>Rear Hoistway Frames () Finish: * Select Finish *</v>
      </c>
      <c r="D573" s="295"/>
      <c r="E573" s="244" t="str">
        <f t="shared" si="103"/>
        <v/>
      </c>
      <c r="F573" s="296" t="s">
        <v>649</v>
      </c>
      <c r="J573" s="73"/>
      <c r="K573" s="139"/>
      <c r="L573" s="139"/>
      <c r="M573" s="272" t="e">
        <f>INDEX($T$217:$W$224,VLOOKUP(F573,$AA$217:$AB$224,2,FALSE),VLOOKUP($C$10,$AD$217:$AE$220,2,FALSE))</f>
        <v>#N/A</v>
      </c>
      <c r="N573" s="292" t="s">
        <v>790</v>
      </c>
      <c r="O573" s="139"/>
      <c r="P573" s="139"/>
      <c r="Q573" s="139"/>
    </row>
    <row r="574" spans="1:35" s="43" customFormat="1" ht="16.5" hidden="1" thickBot="1">
      <c r="A574" s="52"/>
      <c r="B574" s="52">
        <v>4</v>
      </c>
      <c r="C574" s="35" t="str">
        <f>"Rear Hoistway Frames ("&amp;$C$10&amp;") Finish: "&amp;F574</f>
        <v>Rear Hoistway Frames () Finish: * Select Finish *</v>
      </c>
      <c r="D574" s="295"/>
      <c r="E574" s="244" t="str">
        <f t="shared" si="103"/>
        <v/>
      </c>
      <c r="F574" s="296" t="s">
        <v>649</v>
      </c>
      <c r="J574" s="73"/>
      <c r="K574" s="139"/>
      <c r="L574" s="139"/>
      <c r="M574" s="272" t="e">
        <f>INDEX($T$217:$W$224,VLOOKUP(F574,$AA$217:$AB$224,2,FALSE),VLOOKUP($C$10,$AD$217:$AE$220,2,FALSE))</f>
        <v>#N/A</v>
      </c>
      <c r="N574" s="292" t="s">
        <v>790</v>
      </c>
      <c r="O574" s="139"/>
      <c r="P574" s="139"/>
      <c r="Q574" s="139"/>
    </row>
    <row r="575" spans="1:35" s="43" customFormat="1" ht="15.75" hidden="1" thickBot="1">
      <c r="A575" s="52"/>
      <c r="B575" s="52"/>
      <c r="C575" s="35"/>
      <c r="D575" s="295"/>
      <c r="E575" s="244" t="str">
        <f t="shared" si="103"/>
        <v/>
      </c>
      <c r="F575" s="35"/>
      <c r="H575" s="242"/>
      <c r="J575" s="73"/>
      <c r="K575" s="139"/>
      <c r="L575" s="139"/>
      <c r="M575" s="139"/>
      <c r="N575" s="139"/>
      <c r="O575" s="139"/>
      <c r="P575" s="139"/>
      <c r="Q575" s="139"/>
    </row>
    <row r="576" spans="1:35" s="43" customFormat="1" ht="15.75" hidden="1" thickBot="1">
      <c r="A576" s="52"/>
      <c r="B576" s="52">
        <v>4</v>
      </c>
      <c r="C576" s="35" t="s">
        <v>791</v>
      </c>
      <c r="D576" s="52"/>
      <c r="E576" s="244" t="str">
        <f t="shared" si="103"/>
        <v/>
      </c>
      <c r="F576" s="35"/>
      <c r="J576" s="73"/>
      <c r="K576" s="139"/>
      <c r="L576" s="139"/>
      <c r="M576" s="223">
        <f>N576*2</f>
        <v>348.23249999999996</v>
      </c>
      <c r="N576" s="223">
        <f>P576*O576</f>
        <v>174.11624999999998</v>
      </c>
      <c r="O576" s="43">
        <v>1.65</v>
      </c>
      <c r="P576" s="233">
        <f>134*1.4*0.9/1.6</f>
        <v>105.52499999999999</v>
      </c>
      <c r="Q576" s="139"/>
    </row>
    <row r="577" spans="1:30" s="43" customFormat="1" ht="15.75" hidden="1" thickBot="1">
      <c r="A577" s="52"/>
      <c r="B577" s="52">
        <v>4</v>
      </c>
      <c r="C577" s="35" t="s">
        <v>792</v>
      </c>
      <c r="D577" s="52"/>
      <c r="E577" s="244" t="str">
        <f t="shared" si="103"/>
        <v/>
      </c>
      <c r="F577" s="35"/>
      <c r="J577" s="73"/>
      <c r="K577" s="139"/>
      <c r="L577" s="139"/>
      <c r="M577" s="223">
        <f>N577*2</f>
        <v>696.46499999999992</v>
      </c>
      <c r="N577" s="223">
        <f>P577*O577</f>
        <v>348.23249999999996</v>
      </c>
      <c r="O577" s="43">
        <v>1.65</v>
      </c>
      <c r="P577" s="233">
        <f>268*1.4*0.9/1.6</f>
        <v>211.04999999999998</v>
      </c>
      <c r="Q577" s="139"/>
    </row>
    <row r="578" spans="1:30" s="43" customFormat="1" ht="15.75" hidden="1" thickBot="1">
      <c r="A578" s="52"/>
      <c r="B578" s="52"/>
      <c r="C578" s="35"/>
      <c r="D578" s="52"/>
      <c r="E578" s="244" t="str">
        <f t="shared" si="103"/>
        <v/>
      </c>
      <c r="F578" s="35"/>
      <c r="H578" s="242"/>
      <c r="J578" s="73"/>
      <c r="K578" s="139"/>
      <c r="L578" s="139"/>
      <c r="M578" s="139"/>
      <c r="N578" s="139"/>
      <c r="O578" s="139"/>
      <c r="P578" s="139"/>
      <c r="Q578" s="139"/>
    </row>
    <row r="579" spans="1:30" s="43" customFormat="1" ht="16.5" hidden="1" thickBot="1">
      <c r="A579" s="52"/>
      <c r="B579" s="52">
        <v>4</v>
      </c>
      <c r="C579" s="35" t="str">
        <f>"Front Hoistway Doors ("&amp;$C$9&amp;") Finish: "&amp;F579</f>
        <v>Front Hoistway Doors () Finish: * Select Finish *</v>
      </c>
      <c r="D579" s="52"/>
      <c r="E579" s="244" t="str">
        <f t="shared" si="103"/>
        <v/>
      </c>
      <c r="F579" s="270" t="s">
        <v>649</v>
      </c>
      <c r="J579" s="73"/>
      <c r="K579" s="139"/>
      <c r="L579" s="139"/>
      <c r="M579" s="272" t="e">
        <f>INDEX($T$197:$W$207,VLOOKUP(F579,$AA$197:$AB$207,2,FALSE),VLOOKUP($C$9,$AD$199:$AE$202,2,FALSE))</f>
        <v>#N/A</v>
      </c>
      <c r="N579" s="292" t="s">
        <v>793</v>
      </c>
      <c r="O579" s="139"/>
      <c r="P579" s="139"/>
      <c r="Q579" s="139"/>
    </row>
    <row r="580" spans="1:30" s="43" customFormat="1" ht="16.5" hidden="1" thickBot="1">
      <c r="A580" s="52"/>
      <c r="B580" s="52">
        <v>4</v>
      </c>
      <c r="C580" s="35" t="str">
        <f>"Front Hoistway Doors ("&amp;$C$9&amp;") Finish: "&amp;F580</f>
        <v>Front Hoistway Doors () Finish: * Select Finish *</v>
      </c>
      <c r="D580" s="52"/>
      <c r="E580" s="244" t="str">
        <f t="shared" si="103"/>
        <v/>
      </c>
      <c r="F580" s="270" t="s">
        <v>649</v>
      </c>
      <c r="J580" s="73"/>
      <c r="K580" s="139"/>
      <c r="L580" s="139"/>
      <c r="M580" s="272" t="e">
        <f>INDEX($T$197:$W$207,VLOOKUP(F580,$AA$197:$AB$207,2,FALSE),VLOOKUP($C$9,$AD$199:$AE$202,2,FALSE))</f>
        <v>#N/A</v>
      </c>
      <c r="N580" s="292" t="s">
        <v>793</v>
      </c>
      <c r="O580" s="139"/>
      <c r="P580" s="139"/>
      <c r="Q580" s="139"/>
    </row>
    <row r="581" spans="1:30" s="43" customFormat="1" ht="16.5" hidden="1" thickBot="1">
      <c r="A581" s="52"/>
      <c r="B581" s="52">
        <v>4</v>
      </c>
      <c r="C581" s="35" t="str">
        <f>"Front Hoistway Doors ("&amp;$C$9&amp;") Finish: "&amp;F581</f>
        <v>Front Hoistway Doors () Finish: * Select Finish *</v>
      </c>
      <c r="D581" s="52"/>
      <c r="E581" s="244" t="str">
        <f t="shared" si="103"/>
        <v/>
      </c>
      <c r="F581" s="270" t="s">
        <v>649</v>
      </c>
      <c r="J581" s="73"/>
      <c r="K581" s="139"/>
      <c r="L581" s="139"/>
      <c r="M581" s="272" t="e">
        <f>INDEX($T$197:$W$207,VLOOKUP(F581,$AA$197:$AB$207,2,FALSE),VLOOKUP($C$9,$AD$199:$AE$202,2,FALSE))</f>
        <v>#N/A</v>
      </c>
      <c r="N581" s="292" t="s">
        <v>793</v>
      </c>
      <c r="O581" s="139"/>
      <c r="P581" s="139"/>
      <c r="Q581" s="139"/>
    </row>
    <row r="582" spans="1:30" s="43" customFormat="1" ht="16.5" hidden="1" thickBot="1">
      <c r="A582" s="52"/>
      <c r="B582" s="52">
        <v>4</v>
      </c>
      <c r="C582" s="35" t="str">
        <f>"Rear Hoistway Doors ("&amp;$C$10&amp;") Finish: "&amp;F582</f>
        <v>Rear Hoistway Doors () Finish: * Select Finish *</v>
      </c>
      <c r="D582" s="52"/>
      <c r="E582" s="244" t="str">
        <f t="shared" si="103"/>
        <v/>
      </c>
      <c r="F582" s="270" t="s">
        <v>649</v>
      </c>
      <c r="J582" s="73"/>
      <c r="K582" s="139"/>
      <c r="L582" s="139"/>
      <c r="M582" s="272" t="e">
        <f>INDEX($T$197:$W$207,VLOOKUP(F582,$AA$197:$AB$207,2,FALSE),VLOOKUP($C$10,$AD$199:$AE$202,2,FALSE))</f>
        <v>#N/A</v>
      </c>
      <c r="N582" s="292" t="s">
        <v>793</v>
      </c>
      <c r="O582" s="139"/>
      <c r="P582" s="139"/>
      <c r="Q582" s="139"/>
    </row>
    <row r="583" spans="1:30" s="43" customFormat="1" ht="16.5" hidden="1" thickBot="1">
      <c r="A583" s="52"/>
      <c r="B583" s="52">
        <v>4</v>
      </c>
      <c r="C583" s="35" t="str">
        <f>"Rear Hoistway Doors ("&amp;$C$10&amp;") Finish: "&amp;F583</f>
        <v>Rear Hoistway Doors () Finish: * Select Finish *</v>
      </c>
      <c r="D583" s="52"/>
      <c r="E583" s="244" t="str">
        <f t="shared" si="103"/>
        <v/>
      </c>
      <c r="F583" s="270" t="s">
        <v>649</v>
      </c>
      <c r="J583" s="73"/>
      <c r="K583" s="139"/>
      <c r="L583" s="139"/>
      <c r="M583" s="272" t="e">
        <f>INDEX($T$197:$W$207,VLOOKUP(F583,$AA$197:$AB$207,2,FALSE),VLOOKUP($C$10,$AD$199:$AE$202,2,FALSE))</f>
        <v>#N/A</v>
      </c>
      <c r="N583" s="292" t="s">
        <v>793</v>
      </c>
      <c r="O583" s="139"/>
      <c r="P583" s="139"/>
      <c r="Q583" s="139"/>
    </row>
    <row r="584" spans="1:30" s="43" customFormat="1" ht="16.5" hidden="1" thickBot="1">
      <c r="A584" s="52"/>
      <c r="B584" s="52">
        <v>4</v>
      </c>
      <c r="C584" s="35" t="str">
        <f>"Rear Hoistway Doors ("&amp;$C$10&amp;") Finish: "&amp;F584</f>
        <v>Rear Hoistway Doors () Finish: * Select Finish *</v>
      </c>
      <c r="D584" s="52"/>
      <c r="E584" s="244" t="str">
        <f t="shared" si="103"/>
        <v/>
      </c>
      <c r="F584" s="270" t="s">
        <v>649</v>
      </c>
      <c r="J584" s="73"/>
      <c r="K584" s="139"/>
      <c r="L584" s="139"/>
      <c r="M584" s="272" t="e">
        <f>INDEX($T$197:$W$207,VLOOKUP(F584,$AA$197:$AB$207,2,FALSE),VLOOKUP($C$10,$AD$199:$AE$202,2,FALSE))</f>
        <v>#N/A</v>
      </c>
      <c r="N584" s="292" t="s">
        <v>793</v>
      </c>
      <c r="O584" s="139"/>
      <c r="P584" s="139"/>
      <c r="Q584" s="139"/>
    </row>
    <row r="585" spans="1:30" s="43" customFormat="1" ht="15.75" hidden="1" thickBot="1">
      <c r="A585" s="52"/>
      <c r="B585" s="52"/>
      <c r="C585" s="35"/>
      <c r="D585" s="52"/>
      <c r="E585" s="244" t="str">
        <f t="shared" si="103"/>
        <v/>
      </c>
      <c r="F585" s="35"/>
      <c r="H585" s="242"/>
      <c r="J585" s="73"/>
      <c r="K585" s="139"/>
      <c r="L585" s="139"/>
      <c r="M585" s="139"/>
      <c r="N585" s="139"/>
      <c r="O585" s="139"/>
      <c r="P585" s="139"/>
      <c r="Q585" s="139"/>
    </row>
    <row r="586" spans="1:30" s="43" customFormat="1" ht="15.75" hidden="1" thickBot="1">
      <c r="A586" s="52"/>
      <c r="B586" s="52">
        <v>4</v>
      </c>
      <c r="C586" s="35" t="s">
        <v>426</v>
      </c>
      <c r="D586" s="52" t="s">
        <v>309</v>
      </c>
      <c r="E586" s="244" t="str">
        <f t="shared" si="103"/>
        <v/>
      </c>
      <c r="F586" s="35"/>
      <c r="J586" s="73"/>
      <c r="K586" s="139"/>
      <c r="L586" s="139"/>
      <c r="M586" s="223">
        <f>N586*2</f>
        <v>20.418749999999999</v>
      </c>
      <c r="N586" s="223">
        <f>P586*O586</f>
        <v>10.209375</v>
      </c>
      <c r="O586" s="43">
        <v>1.65</v>
      </c>
      <c r="P586" s="233">
        <f>11*0.9/1.6</f>
        <v>6.1875</v>
      </c>
      <c r="Q586" s="139"/>
    </row>
    <row r="587" spans="1:30" s="43" customFormat="1" ht="15.75" hidden="1" thickBot="1">
      <c r="A587" s="52"/>
      <c r="B587" s="52">
        <v>4</v>
      </c>
      <c r="C587" s="35" t="s">
        <v>426</v>
      </c>
      <c r="D587" s="52" t="s">
        <v>311</v>
      </c>
      <c r="E587" s="244" t="str">
        <f t="shared" si="103"/>
        <v/>
      </c>
      <c r="F587" s="35"/>
      <c r="J587" s="73"/>
      <c r="K587" s="139"/>
      <c r="L587" s="139"/>
      <c r="M587" s="223">
        <f>N587*2</f>
        <v>20.418749999999999</v>
      </c>
      <c r="N587" s="223">
        <f>P587*O587</f>
        <v>10.209375</v>
      </c>
      <c r="O587" s="43">
        <v>1.65</v>
      </c>
      <c r="P587" s="233">
        <f>11*0.9/1.6</f>
        <v>6.1875</v>
      </c>
      <c r="Q587" s="139"/>
      <c r="S587" s="30"/>
      <c r="T587" s="30"/>
      <c r="U587" s="30"/>
      <c r="V587" s="30"/>
      <c r="W587" s="30"/>
      <c r="X587" s="30"/>
      <c r="Y587" s="30"/>
      <c r="Z587" s="30"/>
      <c r="AA587" s="30"/>
      <c r="AB587" s="30"/>
      <c r="AC587" s="30"/>
      <c r="AD587" s="30"/>
    </row>
    <row r="588" spans="1:30" s="43" customFormat="1" ht="15.75" hidden="1" thickBot="1">
      <c r="A588" s="52"/>
      <c r="B588" s="52"/>
      <c r="C588" s="35"/>
      <c r="D588" s="52"/>
      <c r="E588" s="244" t="str">
        <f t="shared" si="103"/>
        <v/>
      </c>
      <c r="F588" s="35"/>
      <c r="H588" s="242"/>
      <c r="J588" s="73"/>
      <c r="K588" s="139"/>
      <c r="L588" s="139"/>
      <c r="M588" s="139"/>
      <c r="N588" s="139"/>
      <c r="O588" s="139"/>
      <c r="P588" s="139"/>
      <c r="Q588" s="139"/>
    </row>
    <row r="589" spans="1:30" s="43" customFormat="1" ht="16.5" hidden="1" thickBot="1">
      <c r="A589" s="52"/>
      <c r="B589" s="52">
        <v>4</v>
      </c>
      <c r="C589" s="35" t="str">
        <f>"Front Hoistway Sills ("&amp;$C$9&amp;") Finish: "&amp;F589</f>
        <v>Front Hoistway Sills () Finish: * Select Finish *</v>
      </c>
      <c r="D589" s="295"/>
      <c r="E589" s="244" t="str">
        <f t="shared" si="103"/>
        <v/>
      </c>
      <c r="F589" s="270" t="s">
        <v>649</v>
      </c>
      <c r="J589" s="73"/>
      <c r="K589" s="139"/>
      <c r="L589" s="139"/>
      <c r="M589" s="272" t="e">
        <f>INDEX($T$211:$W$213,VLOOKUP(F589,$AA$211:$AB$213,2,FALSE),VLOOKUP($C$9,$AD$210:$AE$213,2,FALSE))</f>
        <v>#N/A</v>
      </c>
      <c r="N589" s="292" t="s">
        <v>660</v>
      </c>
      <c r="O589" s="139"/>
      <c r="P589" s="139"/>
      <c r="Q589" s="139"/>
    </row>
    <row r="590" spans="1:30" s="43" customFormat="1" ht="16.5" hidden="1" thickBot="1">
      <c r="A590" s="52"/>
      <c r="B590" s="52">
        <v>4</v>
      </c>
      <c r="C590" s="35" t="str">
        <f>"Front Hoistway Sills ("&amp;$C$9&amp;") Finish: "&amp;F590</f>
        <v>Front Hoistway Sills () Finish: * Select Finish *</v>
      </c>
      <c r="D590" s="295"/>
      <c r="E590" s="244" t="str">
        <f t="shared" si="103"/>
        <v/>
      </c>
      <c r="F590" s="270" t="s">
        <v>649</v>
      </c>
      <c r="J590" s="73"/>
      <c r="K590" s="139"/>
      <c r="L590" s="139"/>
      <c r="M590" s="272" t="e">
        <f>INDEX($T$211:$W$213,VLOOKUP(F590,$AA$211:$AB$213,2,FALSE),VLOOKUP($C$9,$AD$210:$AE$213,2,FALSE))</f>
        <v>#N/A</v>
      </c>
      <c r="N590" s="292" t="s">
        <v>660</v>
      </c>
      <c r="O590" s="139"/>
      <c r="P590" s="139"/>
      <c r="Q590" s="139"/>
    </row>
    <row r="591" spans="1:30" s="43" customFormat="1" ht="16.5" hidden="1" thickBot="1">
      <c r="A591" s="52"/>
      <c r="B591" s="52">
        <v>4</v>
      </c>
      <c r="C591" s="35" t="str">
        <f>"Front Hoistway Sills ("&amp;$C$9&amp;") Finish: "&amp;F591</f>
        <v>Front Hoistway Sills () Finish: * Select Finish *</v>
      </c>
      <c r="D591" s="295"/>
      <c r="E591" s="244" t="str">
        <f t="shared" si="103"/>
        <v/>
      </c>
      <c r="F591" s="270" t="s">
        <v>649</v>
      </c>
      <c r="J591" s="73"/>
      <c r="K591" s="139"/>
      <c r="L591" s="139"/>
      <c r="M591" s="272" t="e">
        <f>INDEX($T$211:$W$213,VLOOKUP(F591,$AA$211:$AB$213,2,FALSE),VLOOKUP($C$9,$AD$210:$AE$213,2,FALSE))</f>
        <v>#N/A</v>
      </c>
      <c r="N591" s="292" t="s">
        <v>660</v>
      </c>
      <c r="O591" s="139"/>
      <c r="P591" s="139"/>
      <c r="Q591" s="139"/>
    </row>
    <row r="592" spans="1:30" s="43" customFormat="1" ht="16.5" hidden="1" thickBot="1">
      <c r="A592" s="52"/>
      <c r="B592" s="52">
        <v>4</v>
      </c>
      <c r="C592" s="35" t="str">
        <f>"Rear Hoistway Sills ("&amp;$C$10&amp;") Finish: "&amp;F592</f>
        <v>Rear Hoistway Sills () Finish: * Select Finish *</v>
      </c>
      <c r="D592" s="295"/>
      <c r="E592" s="244" t="str">
        <f t="shared" si="103"/>
        <v/>
      </c>
      <c r="F592" s="270" t="s">
        <v>649</v>
      </c>
      <c r="J592" s="73"/>
      <c r="K592" s="139"/>
      <c r="L592" s="139"/>
      <c r="M592" s="272" t="e">
        <f>INDEX($T$211:$W$213,VLOOKUP(F592,$AA$211:$AB$213,2,FALSE),VLOOKUP($C$10,$AD$210:$AE$213,2,FALSE))</f>
        <v>#N/A</v>
      </c>
      <c r="N592" s="292" t="s">
        <v>660</v>
      </c>
      <c r="O592" s="139"/>
      <c r="P592" s="139"/>
      <c r="Q592" s="139"/>
    </row>
    <row r="593" spans="1:40" s="43" customFormat="1" ht="16.5" hidden="1" thickBot="1">
      <c r="A593" s="52"/>
      <c r="B593" s="52">
        <v>4</v>
      </c>
      <c r="C593" s="35" t="str">
        <f>"Rear Hoistway Sills ("&amp;$C$10&amp;") Finish: "&amp;F593</f>
        <v>Rear Hoistway Sills () Finish: * Select Finish *</v>
      </c>
      <c r="D593" s="295"/>
      <c r="E593" s="244" t="str">
        <f t="shared" si="103"/>
        <v/>
      </c>
      <c r="F593" s="270" t="s">
        <v>649</v>
      </c>
      <c r="J593" s="73"/>
      <c r="K593" s="139"/>
      <c r="L593" s="139"/>
      <c r="M593" s="272" t="e">
        <f>INDEX($T$211:$W$213,VLOOKUP(F593,$AA$211:$AB$213,2,FALSE),VLOOKUP($C$10,$AD$210:$AE$213,2,FALSE))</f>
        <v>#N/A</v>
      </c>
      <c r="N593" s="292" t="s">
        <v>660</v>
      </c>
      <c r="O593" s="139"/>
      <c r="P593" s="139"/>
      <c r="Q593" s="139"/>
    </row>
    <row r="594" spans="1:40" s="43" customFormat="1" ht="16.5" hidden="1" thickBot="1">
      <c r="A594" s="52"/>
      <c r="B594" s="52">
        <v>4</v>
      </c>
      <c r="C594" s="35" t="str">
        <f>"Rear Hoistway Sills ("&amp;$C$10&amp;") Finish: "&amp;F594</f>
        <v>Rear Hoistway Sills () Finish: * Select Finish *</v>
      </c>
      <c r="D594" s="295"/>
      <c r="E594" s="244" t="str">
        <f t="shared" si="103"/>
        <v/>
      </c>
      <c r="F594" s="270" t="s">
        <v>649</v>
      </c>
      <c r="J594" s="73"/>
      <c r="K594" s="139"/>
      <c r="L594" s="139"/>
      <c r="M594" s="272" t="e">
        <f>INDEX($T$211:$W$213,VLOOKUP(F594,$AA$211:$AB$213,2,FALSE),VLOOKUP($C$10,$AD$210:$AE$213,2,FALSE))</f>
        <v>#N/A</v>
      </c>
      <c r="N594" s="292" t="s">
        <v>660</v>
      </c>
      <c r="O594" s="139"/>
      <c r="P594" s="139"/>
      <c r="Q594" s="139"/>
    </row>
    <row r="595" spans="1:40" s="43" customFormat="1" ht="15.75" hidden="1" thickBot="1">
      <c r="A595" s="52"/>
      <c r="B595" s="52"/>
      <c r="C595" s="35"/>
      <c r="D595" s="295"/>
      <c r="E595" s="244" t="str">
        <f t="shared" si="103"/>
        <v/>
      </c>
      <c r="F595" s="35"/>
      <c r="H595" s="242"/>
      <c r="J595" s="73"/>
      <c r="K595" s="139"/>
      <c r="L595" s="139"/>
      <c r="M595" s="139"/>
      <c r="N595" s="139"/>
      <c r="O595" s="139"/>
      <c r="P595" s="139"/>
      <c r="Q595" s="139"/>
    </row>
    <row r="596" spans="1:40" s="43" customFormat="1" ht="15.75" hidden="1" thickBot="1">
      <c r="A596" s="52"/>
      <c r="B596" s="52">
        <v>4</v>
      </c>
      <c r="C596" s="35" t="s">
        <v>794</v>
      </c>
      <c r="D596" s="52"/>
      <c r="E596" s="244" t="str">
        <f t="shared" si="103"/>
        <v/>
      </c>
      <c r="F596" s="35"/>
      <c r="J596" s="73"/>
      <c r="K596" s="139"/>
      <c r="L596" s="139"/>
      <c r="M596" s="223">
        <f>N596*2</f>
        <v>183.76874999999998</v>
      </c>
      <c r="N596" s="223">
        <f>P596*O596</f>
        <v>91.884374999999991</v>
      </c>
      <c r="O596" s="43">
        <v>1.65</v>
      </c>
      <c r="P596" s="233">
        <f>99*0.9/1.6</f>
        <v>55.6875</v>
      </c>
      <c r="Q596" s="139"/>
    </row>
    <row r="597" spans="1:40" s="43" customFormat="1" ht="15.75" hidden="1" thickBot="1">
      <c r="A597" s="52"/>
      <c r="B597" s="52">
        <v>4</v>
      </c>
      <c r="C597" s="35" t="s">
        <v>795</v>
      </c>
      <c r="D597" s="52"/>
      <c r="E597" s="244" t="str">
        <f t="shared" si="103"/>
        <v/>
      </c>
      <c r="F597" s="35"/>
      <c r="J597" s="73"/>
      <c r="K597" s="139"/>
      <c r="L597" s="139"/>
      <c r="M597" s="223">
        <f t="shared" ref="M597:M604" si="115">N597*2</f>
        <v>183.76874999999998</v>
      </c>
      <c r="N597" s="223">
        <f t="shared" ref="N597:N604" si="116">P597*O597</f>
        <v>91.884374999999991</v>
      </c>
      <c r="O597" s="43">
        <v>1.65</v>
      </c>
      <c r="P597" s="233">
        <f>99*0.9/1.6</f>
        <v>55.6875</v>
      </c>
      <c r="Q597" s="139"/>
    </row>
    <row r="598" spans="1:40" s="43" customFormat="1" ht="15.75" hidden="1" thickBot="1">
      <c r="A598" s="52"/>
      <c r="B598" s="52">
        <v>4</v>
      </c>
      <c r="C598" s="35" t="s">
        <v>796</v>
      </c>
      <c r="D598" s="52"/>
      <c r="E598" s="244" t="str">
        <f t="shared" si="103"/>
        <v/>
      </c>
      <c r="F598" s="35"/>
      <c r="J598" s="73"/>
      <c r="K598" s="139"/>
      <c r="L598" s="139"/>
      <c r="M598" s="223">
        <f t="shared" si="115"/>
        <v>29.7</v>
      </c>
      <c r="N598" s="223">
        <f t="shared" si="116"/>
        <v>14.85</v>
      </c>
      <c r="O598" s="43">
        <v>1.65</v>
      </c>
      <c r="P598" s="233">
        <f>($E$9-($E$8*7))*12*0.9/1.6</f>
        <v>9</v>
      </c>
      <c r="Q598" s="139"/>
    </row>
    <row r="599" spans="1:40" s="43" customFormat="1" ht="15.75" hidden="1" thickBot="1">
      <c r="A599" s="52"/>
      <c r="B599" s="52">
        <v>4</v>
      </c>
      <c r="C599" s="35" t="s">
        <v>429</v>
      </c>
      <c r="D599" s="295" t="s">
        <v>425</v>
      </c>
      <c r="E599" s="244" t="str">
        <f t="shared" si="103"/>
        <v/>
      </c>
      <c r="F599" s="35"/>
      <c r="J599" s="73"/>
      <c r="K599" s="139"/>
      <c r="L599" s="139"/>
      <c r="M599" s="223">
        <f t="shared" si="115"/>
        <v>81.2109375</v>
      </c>
      <c r="N599" s="223">
        <f t="shared" si="116"/>
        <v>40.60546875</v>
      </c>
      <c r="O599" s="43">
        <v>1.65</v>
      </c>
      <c r="P599" s="233">
        <f>35/0.8*0.9/1.6</f>
        <v>24.609375</v>
      </c>
      <c r="Q599" s="139"/>
    </row>
    <row r="600" spans="1:40" s="43" customFormat="1" ht="15.75" hidden="1" thickBot="1">
      <c r="A600" s="52"/>
      <c r="B600" s="52">
        <v>4</v>
      </c>
      <c r="C600" s="35" t="s">
        <v>429</v>
      </c>
      <c r="D600" s="295" t="s">
        <v>309</v>
      </c>
      <c r="E600" s="244" t="str">
        <f t="shared" si="103"/>
        <v/>
      </c>
      <c r="F600" s="35"/>
      <c r="J600" s="73"/>
      <c r="K600" s="139"/>
      <c r="L600" s="139"/>
      <c r="M600" s="223">
        <f t="shared" si="115"/>
        <v>122.9765625</v>
      </c>
      <c r="N600" s="223">
        <f t="shared" si="116"/>
        <v>61.48828125</v>
      </c>
      <c r="O600" s="43">
        <v>1.65</v>
      </c>
      <c r="P600" s="233">
        <f>53/0.8*0.9/1.6</f>
        <v>37.265625</v>
      </c>
      <c r="Q600" s="139"/>
    </row>
    <row r="601" spans="1:40" s="43" customFormat="1" ht="15.75" hidden="1" thickBot="1">
      <c r="A601" s="52"/>
      <c r="B601" s="52">
        <v>4</v>
      </c>
      <c r="C601" s="35" t="s">
        <v>430</v>
      </c>
      <c r="D601" s="52"/>
      <c r="E601" s="244" t="str">
        <f t="shared" si="103"/>
        <v/>
      </c>
      <c r="F601" s="35"/>
      <c r="J601" s="73"/>
      <c r="K601" s="139"/>
      <c r="L601" s="139"/>
      <c r="M601" s="223">
        <f t="shared" si="115"/>
        <v>14.85</v>
      </c>
      <c r="N601" s="223">
        <f t="shared" si="116"/>
        <v>7.4249999999999998</v>
      </c>
      <c r="O601" s="43">
        <v>1.65</v>
      </c>
      <c r="P601" s="233">
        <f>8*0.9/1.6</f>
        <v>4.5</v>
      </c>
      <c r="Q601" s="139"/>
    </row>
    <row r="602" spans="1:40" s="43" customFormat="1" ht="15.75" hidden="1" thickBot="1">
      <c r="A602" s="52"/>
      <c r="B602" s="52">
        <v>4</v>
      </c>
      <c r="C602" s="35" t="s">
        <v>797</v>
      </c>
      <c r="D602" s="52"/>
      <c r="E602" s="244" t="str">
        <f t="shared" si="103"/>
        <v/>
      </c>
      <c r="F602" s="35"/>
      <c r="J602" s="73"/>
      <c r="K602" s="139"/>
      <c r="L602" s="139"/>
      <c r="M602" s="223">
        <f t="shared" si="115"/>
        <v>209.75624999999999</v>
      </c>
      <c r="N602" s="223">
        <f t="shared" si="116"/>
        <v>104.878125</v>
      </c>
      <c r="O602" s="43">
        <v>1.65</v>
      </c>
      <c r="P602" s="233">
        <f>113*0.9/1.6</f>
        <v>63.5625</v>
      </c>
      <c r="Q602" s="139"/>
    </row>
    <row r="603" spans="1:40" s="43" customFormat="1" ht="15.75" hidden="1" thickBot="1">
      <c r="A603" s="52"/>
      <c r="B603" s="52">
        <v>4</v>
      </c>
      <c r="C603" s="35" t="s">
        <v>431</v>
      </c>
      <c r="D603" s="52"/>
      <c r="E603" s="244" t="str">
        <f>IF(ISBLANK(A603),"",(A603*M603*(1-$H$3)))</f>
        <v/>
      </c>
      <c r="F603" s="35"/>
      <c r="J603" s="73"/>
      <c r="K603" s="139"/>
      <c r="L603" s="139"/>
      <c r="M603" s="223">
        <f t="shared" si="115"/>
        <v>183.76874999999998</v>
      </c>
      <c r="N603" s="223">
        <f t="shared" si="116"/>
        <v>91.884374999999991</v>
      </c>
      <c r="O603" s="43">
        <v>1.65</v>
      </c>
      <c r="P603" s="233">
        <f>99*0.9/1.6</f>
        <v>55.6875</v>
      </c>
      <c r="Q603" s="139"/>
    </row>
    <row r="604" spans="1:40" s="43" customFormat="1" ht="15.75" hidden="1" thickBot="1">
      <c r="A604" s="52"/>
      <c r="B604" s="52">
        <v>4</v>
      </c>
      <c r="C604" s="35" t="s">
        <v>432</v>
      </c>
      <c r="D604" s="52"/>
      <c r="E604" s="244" t="str">
        <f>IF(ISBLANK(A604),"",(A604*M604*(1-$H$3)))</f>
        <v/>
      </c>
      <c r="F604" s="35"/>
      <c r="J604" s="73"/>
      <c r="K604" s="139"/>
      <c r="L604" s="139"/>
      <c r="M604" s="223">
        <f t="shared" si="115"/>
        <v>66.824999999999989</v>
      </c>
      <c r="N604" s="223">
        <f t="shared" si="116"/>
        <v>33.412499999999994</v>
      </c>
      <c r="O604" s="43">
        <v>1.65</v>
      </c>
      <c r="P604" s="233">
        <f>36*0.9/1.6</f>
        <v>20.249999999999996</v>
      </c>
      <c r="Q604" s="139"/>
    </row>
    <row r="605" spans="1:40" s="43" customFormat="1" ht="16.5" thickBot="1">
      <c r="A605" s="64" t="str">
        <f>IF(AM12=0,"","-")</f>
        <v>-</v>
      </c>
      <c r="B605" s="65" t="s">
        <v>149</v>
      </c>
      <c r="C605" s="218" t="s">
        <v>408</v>
      </c>
      <c r="D605" s="66"/>
      <c r="E605" s="67"/>
      <c r="F605" s="68">
        <f>SUM(E606:E627)</f>
        <v>383.57575059374994</v>
      </c>
      <c r="H605" s="139"/>
      <c r="J605" s="73"/>
      <c r="K605" s="139"/>
      <c r="L605" s="139"/>
      <c r="M605" s="417"/>
      <c r="N605" s="417"/>
      <c r="O605" s="417"/>
      <c r="P605" s="139"/>
      <c r="Q605" s="139"/>
    </row>
    <row r="606" spans="1:40" s="43" customFormat="1" ht="15.75" thickBot="1">
      <c r="A606" s="297">
        <v>1</v>
      </c>
      <c r="B606" s="52">
        <v>26</v>
      </c>
      <c r="C606" s="35" t="str">
        <f>"Spring Buffers Model "&amp;HLOOKUP(U607,T608:AA611,2,FALSE)&amp;" (Pair)"</f>
        <v>Spring Buffers Model 4M (Pair)</v>
      </c>
      <c r="D606" s="52" t="str">
        <f>"Max "&amp;HLOOKUP(U607,T608:AA611,4,FALSE)&amp;"lbs"</f>
        <v>Max 4000lbs</v>
      </c>
      <c r="E606" s="221">
        <f>IF(ISBLANK(A606),"",(A606*M606*(1-$H$3)))</f>
        <v>383.57575059374994</v>
      </c>
      <c r="F606" s="35"/>
      <c r="J606" s="73"/>
      <c r="K606" s="139"/>
      <c r="L606" s="139"/>
      <c r="M606" s="418">
        <f>HLOOKUP($U$607,$T$608:$AA$611,3,FALSE)</f>
        <v>450.04781249999991</v>
      </c>
      <c r="N606" s="419" t="s">
        <v>798</v>
      </c>
      <c r="O606" s="417"/>
      <c r="P606" s="139"/>
      <c r="Q606" s="139"/>
    </row>
    <row r="607" spans="1:40" s="43" customFormat="1" ht="15.75" hidden="1" thickBot="1">
      <c r="A607" s="297"/>
      <c r="B607" s="52">
        <v>26</v>
      </c>
      <c r="C607" s="35" t="s">
        <v>799</v>
      </c>
      <c r="D607" s="35"/>
      <c r="E607" s="221" t="str">
        <f>IF(ISBLANK(A607),"",(A607*M607*(1-$H$3)))</f>
        <v/>
      </c>
      <c r="F607" s="35"/>
      <c r="J607" s="73"/>
      <c r="K607" s="139"/>
      <c r="L607" s="139"/>
      <c r="M607" s="223">
        <f>N607*2</f>
        <v>1206.5625</v>
      </c>
      <c r="N607" s="223">
        <f>P607*O607</f>
        <v>603.28125</v>
      </c>
      <c r="O607" s="43">
        <v>1.65</v>
      </c>
      <c r="P607" s="224">
        <f>250*0.9/1.6*(ROUNDUP((E9+15+4)/16,1)*2)</f>
        <v>365.625</v>
      </c>
      <c r="Q607" s="139"/>
      <c r="R607" s="139"/>
      <c r="S607" s="43" t="s">
        <v>800</v>
      </c>
      <c r="T607" s="298">
        <f>SUM(E4,E11)</f>
        <v>0</v>
      </c>
      <c r="U607" s="73">
        <f>IF(T607&lt;4001,1,IF(T607&lt;6001,2,IF(T607&lt;8001,3,IF(T607&lt;12001,4,IF(T607&lt;18001,5,IF(T607&lt;24001,6,IF(T607&lt;36001,7,IF(T607&lt;48000,8,N/A))))))))</f>
        <v>1</v>
      </c>
    </row>
    <row r="608" spans="1:40" s="43" customFormat="1" ht="15.75" hidden="1" thickBot="1">
      <c r="A608" s="297"/>
      <c r="B608" s="52">
        <v>26</v>
      </c>
      <c r="C608" s="260" t="s">
        <v>801</v>
      </c>
      <c r="D608" s="299" t="s">
        <v>802</v>
      </c>
      <c r="E608" s="221" t="str">
        <f>IF(ISBLANK(A608),"",(A608*M608*(1-$H$3)))</f>
        <v/>
      </c>
      <c r="F608" s="35"/>
      <c r="J608" s="73"/>
      <c r="K608" s="139"/>
      <c r="L608" s="139"/>
      <c r="M608" s="223" t="e">
        <f>N608*2</f>
        <v>#VALUE!</v>
      </c>
      <c r="N608" s="223" t="e">
        <f>P608*O608</f>
        <v>#VALUE!</v>
      </c>
      <c r="O608" s="43">
        <v>1.65</v>
      </c>
      <c r="P608" s="224" t="e">
        <f>250*0.9/1.6*(ROUNDUP(D608/16,1)*2)</f>
        <v>#VALUE!</v>
      </c>
      <c r="Q608" s="139"/>
      <c r="R608" s="139"/>
      <c r="S608" s="73"/>
      <c r="T608" s="73">
        <v>1</v>
      </c>
      <c r="U608" s="73">
        <v>2</v>
      </c>
      <c r="V608" s="73">
        <v>3</v>
      </c>
      <c r="W608" s="73">
        <v>4</v>
      </c>
      <c r="X608" s="73">
        <v>5</v>
      </c>
      <c r="Y608" s="43">
        <v>6</v>
      </c>
      <c r="Z608" s="43">
        <v>7</v>
      </c>
      <c r="AA608" s="43">
        <v>8</v>
      </c>
      <c r="AD608" s="43" t="s">
        <v>538</v>
      </c>
      <c r="AF608" s="249">
        <v>1.65</v>
      </c>
      <c r="AN608" s="43" t="s">
        <v>540</v>
      </c>
    </row>
    <row r="609" spans="1:47" s="43" customFormat="1" ht="15.75" hidden="1" thickBot="1">
      <c r="A609" s="297"/>
      <c r="B609" s="52">
        <v>26</v>
      </c>
      <c r="C609" s="35" t="s">
        <v>803</v>
      </c>
      <c r="D609" s="35"/>
      <c r="E609" s="221" t="str">
        <f t="shared" ref="E609:E678" si="117">IF(ISBLANK(A609),"",(A609*M609*(1-$H$3)))</f>
        <v/>
      </c>
      <c r="F609" s="35"/>
      <c r="J609" s="73"/>
      <c r="K609" s="139"/>
      <c r="L609" s="139"/>
      <c r="M609" s="223">
        <f>N609*2</f>
        <v>566.15625</v>
      </c>
      <c r="N609" s="223">
        <f>P609*O609</f>
        <v>283.078125</v>
      </c>
      <c r="O609" s="43">
        <v>1.65</v>
      </c>
      <c r="P609" s="224">
        <f>15*0.9/1.6*(E9+15+4)</f>
        <v>171.5625</v>
      </c>
      <c r="Q609" s="139"/>
      <c r="R609" s="139"/>
      <c r="S609" s="73"/>
      <c r="T609" s="73" t="s">
        <v>804</v>
      </c>
      <c r="U609" s="73" t="s">
        <v>805</v>
      </c>
      <c r="V609" s="73" t="s">
        <v>806</v>
      </c>
      <c r="W609" s="73" t="s">
        <v>807</v>
      </c>
      <c r="X609" s="73" t="s">
        <v>808</v>
      </c>
      <c r="Y609" s="73" t="s">
        <v>809</v>
      </c>
      <c r="Z609" s="73" t="s">
        <v>810</v>
      </c>
      <c r="AA609" s="73" t="s">
        <v>811</v>
      </c>
    </row>
    <row r="610" spans="1:47" s="43" customFormat="1" ht="15.75" hidden="1" thickBot="1">
      <c r="A610" s="297"/>
      <c r="B610" s="52">
        <v>26</v>
      </c>
      <c r="C610" s="35" t="s">
        <v>812</v>
      </c>
      <c r="D610" s="299" t="s">
        <v>802</v>
      </c>
      <c r="E610" s="221" t="str">
        <f t="shared" si="117"/>
        <v/>
      </c>
      <c r="F610" s="35"/>
      <c r="J610" s="73"/>
      <c r="K610" s="139"/>
      <c r="L610" s="139"/>
      <c r="M610" s="223" t="e">
        <f t="shared" ref="M610:M627" si="118">N610*2</f>
        <v>#VALUE!</v>
      </c>
      <c r="N610" s="223" t="e">
        <f t="shared" ref="N610:N627" si="119">P610*O610</f>
        <v>#VALUE!</v>
      </c>
      <c r="O610" s="43">
        <v>1.65</v>
      </c>
      <c r="P610" s="224" t="e">
        <f>15*0.9/1.6*D610</f>
        <v>#VALUE!</v>
      </c>
      <c r="Q610" s="139"/>
      <c r="R610" s="139"/>
      <c r="S610" s="71" t="s">
        <v>813</v>
      </c>
      <c r="T610" s="300">
        <f>AD610*2</f>
        <v>450.04781249999991</v>
      </c>
      <c r="U610" s="300">
        <f t="shared" ref="U610:AA610" si="120">AE610*2</f>
        <v>524.85468749999995</v>
      </c>
      <c r="V610" s="300">
        <f t="shared" si="120"/>
        <v>538.12687499999981</v>
      </c>
      <c r="W610" s="300">
        <f t="shared" si="120"/>
        <v>617.76</v>
      </c>
      <c r="X610" s="300">
        <f t="shared" si="120"/>
        <v>701.0128125</v>
      </c>
      <c r="Y610" s="300">
        <f t="shared" si="120"/>
        <v>991.79437499999972</v>
      </c>
      <c r="Z610" s="300">
        <f t="shared" si="120"/>
        <v>1157.0934374999999</v>
      </c>
      <c r="AA610" s="300">
        <f t="shared" si="120"/>
        <v>1511.8228125000001</v>
      </c>
      <c r="AD610" s="300">
        <f>AN610*$AF$608</f>
        <v>225.02390624999995</v>
      </c>
      <c r="AE610" s="300">
        <f t="shared" ref="AE610:AK610" si="121">AO610*$AF$608</f>
        <v>262.42734374999998</v>
      </c>
      <c r="AF610" s="300">
        <f t="shared" si="121"/>
        <v>269.06343749999991</v>
      </c>
      <c r="AG610" s="300">
        <f t="shared" si="121"/>
        <v>308.88</v>
      </c>
      <c r="AH610" s="300">
        <f t="shared" si="121"/>
        <v>350.50640625</v>
      </c>
      <c r="AI610" s="300">
        <f t="shared" si="121"/>
        <v>495.89718749999986</v>
      </c>
      <c r="AJ610" s="300">
        <f t="shared" si="121"/>
        <v>578.54671874999997</v>
      </c>
      <c r="AK610" s="300">
        <f t="shared" si="121"/>
        <v>755.91140625000003</v>
      </c>
      <c r="AN610" s="300">
        <f>242.45*0.9/1.6</f>
        <v>136.37812499999998</v>
      </c>
      <c r="AO610" s="300">
        <f>282.75*0.9/1.6</f>
        <v>159.046875</v>
      </c>
      <c r="AP610" s="300">
        <f>289.9*0.9/1.6</f>
        <v>163.06874999999997</v>
      </c>
      <c r="AQ610" s="300">
        <f>332.8*0.9/1.6</f>
        <v>187.20000000000002</v>
      </c>
      <c r="AR610" s="300">
        <f>377.65*0.9/1.6</f>
        <v>212.42812499999999</v>
      </c>
      <c r="AS610" s="300">
        <f>534.3*0.9/1.6</f>
        <v>300.54374999999993</v>
      </c>
      <c r="AT610" s="300">
        <f>623.35*0.9/1.6</f>
        <v>350.63437499999998</v>
      </c>
      <c r="AU610" s="300">
        <f>814.45*0.9/1.6</f>
        <v>458.12812500000007</v>
      </c>
    </row>
    <row r="611" spans="1:47" s="43" customFormat="1" ht="15.75" hidden="1" thickBot="1">
      <c r="A611" s="297"/>
      <c r="B611" s="52">
        <v>26</v>
      </c>
      <c r="C611" s="35" t="s">
        <v>814</v>
      </c>
      <c r="D611" s="35"/>
      <c r="E611" s="221" t="str">
        <f>IF(ISBLANK(A611),"",(A611*M611*(1-$H$3)))</f>
        <v/>
      </c>
      <c r="F611" s="35" t="s">
        <v>179</v>
      </c>
      <c r="J611" s="73"/>
      <c r="K611" s="139"/>
      <c r="L611" s="139"/>
      <c r="M611" s="223">
        <f>N611*2</f>
        <v>754.875</v>
      </c>
      <c r="N611" s="223">
        <f>P611*O611</f>
        <v>377.4375</v>
      </c>
      <c r="O611" s="43">
        <v>1.65</v>
      </c>
      <c r="P611" s="224">
        <f>20*0.9/1.6*(E9+15+4)</f>
        <v>228.75</v>
      </c>
      <c r="Q611" s="139"/>
      <c r="R611" s="139"/>
      <c r="S611" s="73"/>
      <c r="T611" s="301">
        <v>4000</v>
      </c>
      <c r="U611" s="301">
        <v>6000</v>
      </c>
      <c r="V611" s="301">
        <v>8000</v>
      </c>
      <c r="W611" s="301">
        <v>12000</v>
      </c>
      <c r="X611" s="301">
        <v>18000</v>
      </c>
      <c r="Y611" s="301">
        <v>24000</v>
      </c>
      <c r="Z611" s="301">
        <v>36000</v>
      </c>
      <c r="AA611" s="301">
        <v>47999</v>
      </c>
      <c r="AD611" s="301">
        <v>4000</v>
      </c>
      <c r="AE611" s="301">
        <v>6000</v>
      </c>
      <c r="AF611" s="301">
        <v>8000</v>
      </c>
      <c r="AG611" s="301">
        <v>12000</v>
      </c>
      <c r="AH611" s="301">
        <v>18000</v>
      </c>
      <c r="AI611" s="301">
        <v>24000</v>
      </c>
      <c r="AJ611" s="301">
        <v>36000</v>
      </c>
      <c r="AK611" s="301">
        <v>47999</v>
      </c>
      <c r="AN611" s="301">
        <v>4000</v>
      </c>
      <c r="AO611" s="301">
        <v>6000</v>
      </c>
      <c r="AP611" s="301">
        <v>8000</v>
      </c>
      <c r="AQ611" s="301">
        <v>12000</v>
      </c>
      <c r="AR611" s="301">
        <v>18000</v>
      </c>
      <c r="AS611" s="301">
        <v>24000</v>
      </c>
      <c r="AT611" s="301">
        <v>36000</v>
      </c>
      <c r="AU611" s="301">
        <v>47999</v>
      </c>
    </row>
    <row r="612" spans="1:47" s="43" customFormat="1" ht="15.75" hidden="1" thickBot="1">
      <c r="A612" s="297"/>
      <c r="B612" s="52">
        <v>26</v>
      </c>
      <c r="C612" s="260" t="s">
        <v>815</v>
      </c>
      <c r="D612" s="302" t="s">
        <v>121</v>
      </c>
      <c r="E612" s="221" t="str">
        <f t="shared" si="117"/>
        <v/>
      </c>
      <c r="F612" s="35" t="s">
        <v>179</v>
      </c>
      <c r="J612" s="73"/>
      <c r="K612" s="139"/>
      <c r="L612" s="139"/>
      <c r="M612" s="223" t="e">
        <f t="shared" si="118"/>
        <v>#VALUE!</v>
      </c>
      <c r="N612" s="223" t="e">
        <f t="shared" si="119"/>
        <v>#VALUE!</v>
      </c>
      <c r="O612" s="43">
        <v>1.65</v>
      </c>
      <c r="P612" s="224" t="e">
        <f>20*0.9/1.6*D612</f>
        <v>#VALUE!</v>
      </c>
      <c r="Q612" s="139"/>
    </row>
    <row r="613" spans="1:47" s="43" customFormat="1" ht="15.75" hidden="1" thickBot="1">
      <c r="A613" s="297"/>
      <c r="B613" s="52">
        <v>26</v>
      </c>
      <c r="C613" s="35" t="s">
        <v>816</v>
      </c>
      <c r="D613" s="302" t="s">
        <v>121</v>
      </c>
      <c r="E613" s="221" t="str">
        <f t="shared" si="117"/>
        <v/>
      </c>
      <c r="F613" s="35"/>
      <c r="J613" s="73"/>
      <c r="K613" s="139"/>
      <c r="L613" s="139"/>
      <c r="M613" s="223" t="e">
        <f t="shared" si="118"/>
        <v>#VALUE!</v>
      </c>
      <c r="N613" s="223" t="e">
        <f t="shared" si="119"/>
        <v>#VALUE!</v>
      </c>
      <c r="O613" s="43">
        <v>1.65</v>
      </c>
      <c r="P613" s="224" t="e">
        <f>9.75*0.9/1.6*D613</f>
        <v>#VALUE!</v>
      </c>
      <c r="Q613" s="139"/>
    </row>
    <row r="614" spans="1:47" s="43" customFormat="1" ht="15.75" hidden="1" thickBot="1">
      <c r="A614" s="297"/>
      <c r="B614" s="52">
        <v>26</v>
      </c>
      <c r="C614" s="35" t="s">
        <v>817</v>
      </c>
      <c r="D614" s="302" t="s">
        <v>121</v>
      </c>
      <c r="E614" s="221" t="str">
        <f t="shared" si="117"/>
        <v/>
      </c>
      <c r="F614" s="35"/>
      <c r="J614" s="73"/>
      <c r="K614" s="139"/>
      <c r="L614" s="139"/>
      <c r="M614" s="223" t="e">
        <f t="shared" si="118"/>
        <v>#VALUE!</v>
      </c>
      <c r="N614" s="223" t="e">
        <f t="shared" si="119"/>
        <v>#VALUE!</v>
      </c>
      <c r="O614" s="43">
        <v>1.65</v>
      </c>
      <c r="P614" s="224" t="e">
        <f>9.75*0.9/1.6*D614</f>
        <v>#VALUE!</v>
      </c>
      <c r="Q614" s="139"/>
    </row>
    <row r="615" spans="1:47" s="43" customFormat="1" ht="15.75" hidden="1" thickBot="1">
      <c r="A615" s="297"/>
      <c r="B615" s="52">
        <v>26</v>
      </c>
      <c r="C615" s="35" t="s">
        <v>818</v>
      </c>
      <c r="D615" s="302" t="s">
        <v>121</v>
      </c>
      <c r="E615" s="221" t="str">
        <f t="shared" si="117"/>
        <v/>
      </c>
      <c r="F615" s="35" t="s">
        <v>179</v>
      </c>
      <c r="J615" s="73"/>
      <c r="K615" s="139"/>
      <c r="L615" s="139"/>
      <c r="M615" s="223" t="e">
        <f t="shared" si="118"/>
        <v>#VALUE!</v>
      </c>
      <c r="N615" s="223" t="e">
        <f t="shared" si="119"/>
        <v>#VALUE!</v>
      </c>
      <c r="O615" s="43">
        <v>1.65</v>
      </c>
      <c r="P615" s="224" t="e">
        <f>13*0.9/1.6*D615</f>
        <v>#VALUE!</v>
      </c>
      <c r="Q615" s="139"/>
    </row>
    <row r="616" spans="1:47" s="43" customFormat="1" ht="15.75" hidden="1" thickBot="1">
      <c r="A616" s="297"/>
      <c r="B616" s="52">
        <v>26</v>
      </c>
      <c r="C616" s="35" t="s">
        <v>819</v>
      </c>
      <c r="D616" s="302" t="s">
        <v>121</v>
      </c>
      <c r="E616" s="221" t="str">
        <f t="shared" si="117"/>
        <v/>
      </c>
      <c r="F616" s="35"/>
      <c r="J616" s="73"/>
      <c r="K616" s="139"/>
      <c r="L616" s="139"/>
      <c r="M616" s="223" t="e">
        <f t="shared" si="118"/>
        <v>#VALUE!</v>
      </c>
      <c r="N616" s="223" t="e">
        <f t="shared" si="119"/>
        <v>#VALUE!</v>
      </c>
      <c r="O616" s="43">
        <v>1.65</v>
      </c>
      <c r="P616" s="224" t="e">
        <f>18.2*0.9/1.6*D616</f>
        <v>#VALUE!</v>
      </c>
      <c r="Q616" s="139"/>
    </row>
    <row r="617" spans="1:47" s="43" customFormat="1" ht="15.75" hidden="1" thickBot="1">
      <c r="A617" s="297"/>
      <c r="B617" s="52">
        <v>26</v>
      </c>
      <c r="C617" s="35" t="s">
        <v>820</v>
      </c>
      <c r="D617" s="302" t="s">
        <v>121</v>
      </c>
      <c r="E617" s="221" t="str">
        <f t="shared" si="117"/>
        <v/>
      </c>
      <c r="F617" s="35"/>
      <c r="J617" s="73"/>
      <c r="K617" s="139"/>
      <c r="L617" s="139"/>
      <c r="M617" s="223" t="e">
        <f t="shared" si="118"/>
        <v>#VALUE!</v>
      </c>
      <c r="N617" s="223" t="e">
        <f t="shared" si="119"/>
        <v>#VALUE!</v>
      </c>
      <c r="O617" s="43">
        <v>1.65</v>
      </c>
      <c r="P617" s="224" t="e">
        <f>11.05*0.9/1.6*D617</f>
        <v>#VALUE!</v>
      </c>
      <c r="Q617" s="139"/>
    </row>
    <row r="618" spans="1:47" s="43" customFormat="1" ht="15.75" hidden="1" thickBot="1">
      <c r="A618" s="297"/>
      <c r="B618" s="52">
        <v>26</v>
      </c>
      <c r="C618" s="35" t="s">
        <v>821</v>
      </c>
      <c r="D618" s="302" t="s">
        <v>121</v>
      </c>
      <c r="E618" s="221" t="str">
        <f t="shared" si="117"/>
        <v/>
      </c>
      <c r="F618" s="35" t="s">
        <v>179</v>
      </c>
      <c r="J618" s="73"/>
      <c r="K618" s="139"/>
      <c r="L618" s="139"/>
      <c r="M618" s="223" t="e">
        <f t="shared" si="118"/>
        <v>#VALUE!</v>
      </c>
      <c r="N618" s="223" t="e">
        <f t="shared" si="119"/>
        <v>#VALUE!</v>
      </c>
      <c r="O618" s="43">
        <v>1.65</v>
      </c>
      <c r="P618" s="224" t="e">
        <f>14.3*0.9/1.6*D618</f>
        <v>#VALUE!</v>
      </c>
      <c r="Q618" s="139"/>
    </row>
    <row r="619" spans="1:47" s="43" customFormat="1" ht="15.75" hidden="1" thickBot="1">
      <c r="A619" s="297"/>
      <c r="B619" s="52">
        <v>26</v>
      </c>
      <c r="C619" s="35" t="s">
        <v>822</v>
      </c>
      <c r="D619" s="302" t="s">
        <v>121</v>
      </c>
      <c r="E619" s="221" t="str">
        <f t="shared" si="117"/>
        <v/>
      </c>
      <c r="F619" s="35"/>
      <c r="J619" s="73"/>
      <c r="K619" s="139"/>
      <c r="L619" s="139"/>
      <c r="M619" s="223" t="e">
        <f t="shared" si="118"/>
        <v>#VALUE!</v>
      </c>
      <c r="N619" s="223" t="e">
        <f t="shared" si="119"/>
        <v>#VALUE!</v>
      </c>
      <c r="O619" s="43">
        <v>1.65</v>
      </c>
      <c r="P619" s="224" t="e">
        <f>20.15*0.9/1.6*D619</f>
        <v>#VALUE!</v>
      </c>
      <c r="Q619" s="139"/>
    </row>
    <row r="620" spans="1:47" s="43" customFormat="1" ht="15.75" hidden="1" thickBot="1">
      <c r="A620" s="297"/>
      <c r="B620" s="52">
        <v>26</v>
      </c>
      <c r="C620" s="35" t="s">
        <v>823</v>
      </c>
      <c r="D620" s="302" t="s">
        <v>121</v>
      </c>
      <c r="E620" s="221" t="str">
        <f t="shared" si="117"/>
        <v/>
      </c>
      <c r="F620" s="35"/>
      <c r="J620" s="73"/>
      <c r="K620" s="139"/>
      <c r="L620" s="139"/>
      <c r="M620" s="223" t="e">
        <f t="shared" si="118"/>
        <v>#VALUE!</v>
      </c>
      <c r="N620" s="223" t="e">
        <f t="shared" si="119"/>
        <v>#VALUE!</v>
      </c>
      <c r="O620" s="43">
        <v>1.65</v>
      </c>
      <c r="P620" s="224" t="e">
        <f>11.05*0.9/1.6*D620</f>
        <v>#VALUE!</v>
      </c>
      <c r="Q620" s="139"/>
    </row>
    <row r="621" spans="1:47" s="43" customFormat="1" ht="15.75" hidden="1" thickBot="1">
      <c r="A621" s="297"/>
      <c r="B621" s="52">
        <v>26</v>
      </c>
      <c r="C621" s="35" t="s">
        <v>824</v>
      </c>
      <c r="D621" s="302" t="s">
        <v>121</v>
      </c>
      <c r="E621" s="221" t="str">
        <f t="shared" si="117"/>
        <v/>
      </c>
      <c r="F621" s="35" t="s">
        <v>179</v>
      </c>
      <c r="J621" s="73"/>
      <c r="K621" s="139"/>
      <c r="L621" s="139"/>
      <c r="M621" s="223" t="e">
        <f t="shared" si="118"/>
        <v>#VALUE!</v>
      </c>
      <c r="N621" s="223" t="e">
        <f t="shared" si="119"/>
        <v>#VALUE!</v>
      </c>
      <c r="O621" s="43">
        <v>1.65</v>
      </c>
      <c r="P621" s="224" t="e">
        <f>14.3*0.9/1.6*D621</f>
        <v>#VALUE!</v>
      </c>
      <c r="Q621" s="139"/>
    </row>
    <row r="622" spans="1:47" s="43" customFormat="1" ht="15.75" hidden="1" thickBot="1">
      <c r="A622" s="297"/>
      <c r="B622" s="52">
        <v>26</v>
      </c>
      <c r="C622" s="35" t="s">
        <v>825</v>
      </c>
      <c r="D622" s="302" t="s">
        <v>121</v>
      </c>
      <c r="E622" s="221" t="str">
        <f t="shared" si="117"/>
        <v/>
      </c>
      <c r="F622" s="35"/>
      <c r="J622" s="73"/>
      <c r="K622" s="139"/>
      <c r="L622" s="139"/>
      <c r="M622" s="223" t="e">
        <f t="shared" si="118"/>
        <v>#VALUE!</v>
      </c>
      <c r="N622" s="223" t="e">
        <f t="shared" si="119"/>
        <v>#VALUE!</v>
      </c>
      <c r="O622" s="43">
        <v>1.65</v>
      </c>
      <c r="P622" s="224" t="e">
        <f>20.15*0.9/1.6*D622</f>
        <v>#VALUE!</v>
      </c>
      <c r="Q622" s="139"/>
    </row>
    <row r="623" spans="1:47" s="43" customFormat="1" ht="15.75" hidden="1" thickBot="1">
      <c r="A623" s="297"/>
      <c r="B623" s="52">
        <v>26</v>
      </c>
      <c r="C623" s="35" t="s">
        <v>826</v>
      </c>
      <c r="D623" s="302" t="s">
        <v>121</v>
      </c>
      <c r="E623" s="221" t="str">
        <f t="shared" si="117"/>
        <v/>
      </c>
      <c r="F623" s="35"/>
      <c r="K623" s="139"/>
      <c r="L623" s="139"/>
      <c r="M623" s="223" t="e">
        <f t="shared" si="118"/>
        <v>#VALUE!</v>
      </c>
      <c r="N623" s="223" t="e">
        <f t="shared" si="119"/>
        <v>#VALUE!</v>
      </c>
      <c r="O623" s="43">
        <v>1.65</v>
      </c>
      <c r="P623" s="224" t="e">
        <f>15.6*0.9/1.6*D623</f>
        <v>#VALUE!</v>
      </c>
      <c r="Q623" s="139"/>
    </row>
    <row r="624" spans="1:47" s="43" customFormat="1" ht="15.75" hidden="1" thickBot="1">
      <c r="A624" s="297"/>
      <c r="B624" s="52">
        <v>26</v>
      </c>
      <c r="C624" s="35" t="s">
        <v>827</v>
      </c>
      <c r="D624" s="302" t="s">
        <v>121</v>
      </c>
      <c r="E624" s="221" t="str">
        <f t="shared" si="117"/>
        <v/>
      </c>
      <c r="F624" s="35" t="s">
        <v>179</v>
      </c>
      <c r="K624" s="139"/>
      <c r="L624" s="139"/>
      <c r="M624" s="223" t="e">
        <f t="shared" si="118"/>
        <v>#VALUE!</v>
      </c>
      <c r="N624" s="223" t="e">
        <f t="shared" si="119"/>
        <v>#VALUE!</v>
      </c>
      <c r="O624" s="43">
        <v>1.65</v>
      </c>
      <c r="P624" s="224" t="e">
        <f>20.15*0.9/1.6*D624</f>
        <v>#VALUE!</v>
      </c>
      <c r="Q624" s="139"/>
    </row>
    <row r="625" spans="1:17" s="43" customFormat="1" ht="15.75" hidden="1" thickBot="1">
      <c r="A625" s="297"/>
      <c r="B625" s="52">
        <v>26</v>
      </c>
      <c r="C625" s="35" t="s">
        <v>828</v>
      </c>
      <c r="D625" s="302" t="s">
        <v>121</v>
      </c>
      <c r="E625" s="221" t="str">
        <f t="shared" si="117"/>
        <v/>
      </c>
      <c r="F625" s="35"/>
      <c r="K625" s="139"/>
      <c r="L625" s="139"/>
      <c r="M625" s="223" t="e">
        <f t="shared" si="118"/>
        <v>#VALUE!</v>
      </c>
      <c r="N625" s="223" t="e">
        <f t="shared" si="119"/>
        <v>#VALUE!</v>
      </c>
      <c r="O625" s="43">
        <v>1.65</v>
      </c>
      <c r="P625" s="224" t="e">
        <f>28.6*0.9/1.6*D625</f>
        <v>#VALUE!</v>
      </c>
      <c r="Q625" s="139"/>
    </row>
    <row r="626" spans="1:17" s="43" customFormat="1" ht="15.75" hidden="1" thickBot="1">
      <c r="A626" s="69"/>
      <c r="B626" s="52">
        <v>26</v>
      </c>
      <c r="C626" s="35" t="s">
        <v>409</v>
      </c>
      <c r="D626" s="35"/>
      <c r="E626" s="221" t="str">
        <f t="shared" si="117"/>
        <v/>
      </c>
      <c r="F626" s="35"/>
      <c r="K626" s="139"/>
      <c r="L626" s="139"/>
      <c r="M626" s="223">
        <f t="shared" si="118"/>
        <v>260.32774390243901</v>
      </c>
      <c r="N626" s="223">
        <f t="shared" si="119"/>
        <v>130.16387195121951</v>
      </c>
      <c r="O626" s="43">
        <v>1.65</v>
      </c>
      <c r="P626" s="224">
        <f>115/0.82*0.9/1.6</f>
        <v>78.887195121951223</v>
      </c>
      <c r="Q626" s="139"/>
    </row>
    <row r="627" spans="1:17" s="43" customFormat="1" ht="15.75" hidden="1" thickBot="1">
      <c r="A627" s="69"/>
      <c r="B627" s="52">
        <v>26</v>
      </c>
      <c r="C627" s="35" t="s">
        <v>410</v>
      </c>
      <c r="D627" s="35"/>
      <c r="E627" s="221" t="str">
        <f t="shared" si="117"/>
        <v/>
      </c>
      <c r="F627" s="35"/>
      <c r="K627" s="139"/>
      <c r="L627" s="139"/>
      <c r="M627" s="223">
        <f t="shared" si="118"/>
        <v>751.13372093023247</v>
      </c>
      <c r="N627" s="223">
        <f t="shared" si="119"/>
        <v>375.56686046511624</v>
      </c>
      <c r="O627" s="43">
        <v>1.65</v>
      </c>
      <c r="P627" s="224">
        <f>348/0.86*0.9/1.6</f>
        <v>227.61627906976744</v>
      </c>
      <c r="Q627" s="139"/>
    </row>
    <row r="628" spans="1:17" s="43" customFormat="1" ht="16.5" thickBot="1">
      <c r="A628" s="64" t="str">
        <f>IF(AM13=0,"","-")</f>
        <v>-</v>
      </c>
      <c r="B628" s="65" t="s">
        <v>149</v>
      </c>
      <c r="C628" s="218" t="s">
        <v>234</v>
      </c>
      <c r="D628" s="66"/>
      <c r="E628" s="67"/>
      <c r="F628" s="68" t="e">
        <f>SUM(E629:E694)</f>
        <v>#VALUE!</v>
      </c>
      <c r="G628" s="225"/>
      <c r="H628" s="139"/>
      <c r="K628" s="139"/>
      <c r="L628" s="139"/>
      <c r="M628" s="417"/>
      <c r="N628" s="417"/>
      <c r="O628" s="417"/>
      <c r="P628" s="139"/>
      <c r="Q628" s="139"/>
    </row>
    <row r="629" spans="1:17" s="43" customFormat="1" hidden="1">
      <c r="A629" s="69"/>
      <c r="B629" s="52">
        <v>5</v>
      </c>
      <c r="C629" s="35" t="s">
        <v>235</v>
      </c>
      <c r="D629" s="35"/>
      <c r="E629" s="221" t="str">
        <f t="shared" si="117"/>
        <v/>
      </c>
      <c r="F629" s="35"/>
      <c r="G629" s="222"/>
      <c r="K629" s="139"/>
      <c r="L629" s="139"/>
      <c r="M629" s="223">
        <f>N629*2</f>
        <v>5726.53125</v>
      </c>
      <c r="N629" s="223">
        <f>P629*O629</f>
        <v>2863.265625</v>
      </c>
      <c r="O629" s="43">
        <v>1.65</v>
      </c>
      <c r="P629" s="224">
        <f>IF($E$9&lt;14,3085,3085+($E$9-14)*148)*0.9/1.6</f>
        <v>1735.3125</v>
      </c>
      <c r="Q629" s="139"/>
    </row>
    <row r="630" spans="1:17" s="43" customFormat="1" hidden="1">
      <c r="A630" s="69"/>
      <c r="B630" s="52">
        <v>5</v>
      </c>
      <c r="C630" s="35" t="s">
        <v>236</v>
      </c>
      <c r="D630" s="35"/>
      <c r="E630" s="221" t="str">
        <f t="shared" si="117"/>
        <v/>
      </c>
      <c r="F630" s="35"/>
      <c r="G630" s="222"/>
      <c r="K630" s="139"/>
      <c r="L630" s="139"/>
      <c r="M630" s="223">
        <f t="shared" ref="M630:M676" si="122">N630*2</f>
        <v>5726.53125</v>
      </c>
      <c r="N630" s="223">
        <f t="shared" ref="N630:N676" si="123">P630*O630</f>
        <v>2863.265625</v>
      </c>
      <c r="O630" s="43">
        <v>1.65</v>
      </c>
      <c r="P630" s="224">
        <f>IF($E$9&lt;14,3085,3085+($E$9-14)*148)*0.9/1.6</f>
        <v>1735.3125</v>
      </c>
      <c r="Q630" s="139"/>
    </row>
    <row r="631" spans="1:17" s="43" customFormat="1" hidden="1">
      <c r="A631" s="69"/>
      <c r="B631" s="52">
        <v>5</v>
      </c>
      <c r="C631" s="35" t="s">
        <v>237</v>
      </c>
      <c r="D631" s="35"/>
      <c r="E631" s="221" t="str">
        <f t="shared" si="117"/>
        <v/>
      </c>
      <c r="F631" s="35"/>
      <c r="G631" s="222"/>
      <c r="K631" s="139"/>
      <c r="L631" s="139"/>
      <c r="M631" s="223">
        <f t="shared" si="122"/>
        <v>9292.3874999999989</v>
      </c>
      <c r="N631" s="223">
        <f t="shared" si="123"/>
        <v>4646.1937499999995</v>
      </c>
      <c r="O631" s="43">
        <v>1.65</v>
      </c>
      <c r="P631" s="224">
        <f>IF($E$9&lt;14,5006+99*$E$5,5006+($E$9-14)*188+99*$E$5)*0.9/1.6</f>
        <v>2815.875</v>
      </c>
      <c r="Q631" s="139"/>
    </row>
    <row r="632" spans="1:17" s="43" customFormat="1" hidden="1">
      <c r="A632" s="69"/>
      <c r="B632" s="52">
        <v>5</v>
      </c>
      <c r="C632" s="35" t="s">
        <v>238</v>
      </c>
      <c r="D632" s="35"/>
      <c r="E632" s="221" t="str">
        <f t="shared" si="117"/>
        <v/>
      </c>
      <c r="F632" s="35"/>
      <c r="G632" s="222"/>
      <c r="J632" s="73"/>
      <c r="K632" s="139"/>
      <c r="L632" s="139"/>
      <c r="M632" s="223">
        <f t="shared" si="122"/>
        <v>9292.3874999999989</v>
      </c>
      <c r="N632" s="223">
        <f t="shared" si="123"/>
        <v>4646.1937499999995</v>
      </c>
      <c r="O632" s="43">
        <v>1.65</v>
      </c>
      <c r="P632" s="224">
        <f>IF($E$9&lt;14,5006+99*$E$5,5006+($E$9-14)*188+99*$E$5)*0.9/1.6</f>
        <v>2815.875</v>
      </c>
      <c r="Q632" s="139"/>
    </row>
    <row r="633" spans="1:17" s="43" customFormat="1">
      <c r="A633" s="69">
        <f>IF($G$10=B633,1,0)</f>
        <v>0</v>
      </c>
      <c r="B633" s="52" t="s">
        <v>30</v>
      </c>
      <c r="C633" s="35" t="s">
        <v>829</v>
      </c>
      <c r="D633" s="35" t="s">
        <v>830</v>
      </c>
      <c r="E633" s="221" t="e">
        <f>IF(ISBLANK(A633),"",IF('Estimating Form'!$C$56="Yes",(A633*M633*(1-$H$3)*0.7),IF('Estimating Form'!$C$58="Yes",(A633*M633*(1-$H$3)*0.52),(A633*M633*(1-$H$3)))))</f>
        <v>#VALUE!</v>
      </c>
      <c r="F633" s="35"/>
      <c r="G633" s="222"/>
      <c r="J633" s="73"/>
      <c r="K633" s="139"/>
      <c r="L633" s="139"/>
      <c r="M633" s="415" t="e">
        <f t="shared" si="122"/>
        <v>#VALUE!</v>
      </c>
      <c r="N633" s="415" t="e">
        <f t="shared" si="123"/>
        <v>#VALUE!</v>
      </c>
      <c r="O633" s="416">
        <v>1.65</v>
      </c>
      <c r="P633" s="425" t="e">
        <f>(1423 +(($E$9-10)*68)+(($B$14-1)*668))*0.9/1.6</f>
        <v>#VALUE!</v>
      </c>
      <c r="Q633" s="139"/>
    </row>
    <row r="634" spans="1:17" s="43" customFormat="1">
      <c r="A634" s="69">
        <f>IF($G$10=B634,1,0)</f>
        <v>0</v>
      </c>
      <c r="B634" s="52" t="s">
        <v>33</v>
      </c>
      <c r="C634" s="35" t="s">
        <v>831</v>
      </c>
      <c r="D634" s="35" t="s">
        <v>830</v>
      </c>
      <c r="E634" s="221" t="e">
        <f>IF(ISBLANK(A634),"",IF('Estimating Form'!$C$56="Yes",(A634*M634*(1-$H$3)*0.7),IF('Estimating Form'!$C$58="Yes",(A634*M634*(1-$H$3)*0.52),(A634*M634*(1-$H$3)))))</f>
        <v>#VALUE!</v>
      </c>
      <c r="F634" s="35"/>
      <c r="G634" s="222"/>
      <c r="J634" s="73"/>
      <c r="K634" s="139"/>
      <c r="L634" s="139"/>
      <c r="M634" s="415" t="e">
        <f t="shared" si="122"/>
        <v>#VALUE!</v>
      </c>
      <c r="N634" s="415" t="e">
        <f t="shared" si="123"/>
        <v>#VALUE!</v>
      </c>
      <c r="O634" s="416">
        <v>1.65</v>
      </c>
      <c r="P634" s="425" t="e">
        <f>(1529+(($E$9-10)*71)+(($B$14-1)*668))*0.9/1.69</f>
        <v>#VALUE!</v>
      </c>
      <c r="Q634" s="139"/>
    </row>
    <row r="635" spans="1:17" s="43" customFormat="1">
      <c r="A635" s="69">
        <f>IF(B635&gt;0,IF(AND('Estimating Form'!$C$52="Yes",'Estimating Form'!$D$52="HDPE"),1,0),0)</f>
        <v>0</v>
      </c>
      <c r="B635" s="69">
        <f>SUM($A$633:$A$634)</f>
        <v>0</v>
      </c>
      <c r="C635" s="35" t="s">
        <v>239</v>
      </c>
      <c r="D635" s="35"/>
      <c r="E635" s="221">
        <f t="shared" si="117"/>
        <v>0</v>
      </c>
      <c r="F635" s="35"/>
      <c r="G635" s="222"/>
      <c r="J635" s="73"/>
      <c r="K635" s="139"/>
      <c r="L635" s="139"/>
      <c r="M635" s="415">
        <f t="shared" si="122"/>
        <v>801.28125</v>
      </c>
      <c r="N635" s="415">
        <f t="shared" si="123"/>
        <v>400.640625</v>
      </c>
      <c r="O635" s="416">
        <v>1.65</v>
      </c>
      <c r="P635" s="425">
        <f>(413+($E$9*14))*0.9/1.6</f>
        <v>242.8125</v>
      </c>
      <c r="Q635" s="139"/>
    </row>
    <row r="636" spans="1:17" s="43" customFormat="1">
      <c r="A636" s="69">
        <f>IF(B636&gt;0,IF(AND('Estimating Form'!$C$52="Yes",'Estimating Form'!$D$52="PVC"),1,0),0)</f>
        <v>0</v>
      </c>
      <c r="B636" s="69">
        <f>SUM($A$633:$A$634)</f>
        <v>0</v>
      </c>
      <c r="C636" s="35" t="s">
        <v>240</v>
      </c>
      <c r="D636" s="35"/>
      <c r="E636" s="221">
        <f t="shared" si="117"/>
        <v>0</v>
      </c>
      <c r="F636" s="35"/>
      <c r="G636" s="222"/>
      <c r="J636" s="73"/>
      <c r="K636" s="139"/>
      <c r="L636" s="139"/>
      <c r="M636" s="415">
        <f t="shared" si="122"/>
        <v>1265.3437500000002</v>
      </c>
      <c r="N636" s="415">
        <f t="shared" si="123"/>
        <v>632.67187500000011</v>
      </c>
      <c r="O636" s="416">
        <v>1.65</v>
      </c>
      <c r="P636" s="425">
        <f>((413+($E$9*14))+250)*0.9/1.6</f>
        <v>383.43750000000006</v>
      </c>
      <c r="Q636" s="139"/>
    </row>
    <row r="637" spans="1:17" s="43" customFormat="1">
      <c r="A637" s="69">
        <f>IF($G$10=B637,1,0)</f>
        <v>0</v>
      </c>
      <c r="B637" s="52" t="s">
        <v>36</v>
      </c>
      <c r="C637" s="35" t="s">
        <v>832</v>
      </c>
      <c r="D637" s="35" t="s">
        <v>833</v>
      </c>
      <c r="E637" s="221" t="e">
        <f>IF(ISBLANK(A637),"",IF('Estimating Form'!$C$56="Yes",(A637*M637*(1-$H$3)*0.7),IF('Estimating Form'!$C$58="Yes",(A637*M637*(1-$H$3)*0.52),(A637*M637*(1-$H$3)))))</f>
        <v>#VALUE!</v>
      </c>
      <c r="F637" s="35"/>
      <c r="G637" s="222"/>
      <c r="J637" s="73"/>
      <c r="K637" s="139"/>
      <c r="L637" s="139"/>
      <c r="M637" s="415" t="e">
        <f t="shared" si="122"/>
        <v>#VALUE!</v>
      </c>
      <c r="N637" s="415" t="e">
        <f t="shared" si="123"/>
        <v>#VALUE!</v>
      </c>
      <c r="O637" s="416">
        <v>1.65</v>
      </c>
      <c r="P637" s="425" t="e">
        <f>(1580+(($E$9-10)*74)+(($B$14-1)*668))*0.9/1.6</f>
        <v>#VALUE!</v>
      </c>
      <c r="Q637" s="139"/>
    </row>
    <row r="638" spans="1:17" s="43" customFormat="1">
      <c r="A638" s="69">
        <f>IF($G$10=B638,1,0)</f>
        <v>0</v>
      </c>
      <c r="B638" s="52" t="s">
        <v>39</v>
      </c>
      <c r="C638" s="35" t="s">
        <v>834</v>
      </c>
      <c r="D638" s="35" t="s">
        <v>833</v>
      </c>
      <c r="E638" s="221" t="e">
        <f>IF(ISBLANK(A638),"",IF('Estimating Form'!$C$56="Yes",(A638*M638*(1-$H$3)*0.7),IF('Estimating Form'!$C$58="Yes",(A638*M638*(1-$H$3)*0.52),(A638*M638*(1-$H$3)))))</f>
        <v>#VALUE!</v>
      </c>
      <c r="F638" s="35"/>
      <c r="G638" s="222"/>
      <c r="J638" s="73"/>
      <c r="K638" s="139"/>
      <c r="L638" s="139"/>
      <c r="M638" s="415" t="e">
        <f t="shared" si="122"/>
        <v>#VALUE!</v>
      </c>
      <c r="N638" s="415" t="e">
        <f t="shared" si="123"/>
        <v>#VALUE!</v>
      </c>
      <c r="O638" s="416">
        <v>1.65</v>
      </c>
      <c r="P638" s="425" t="e">
        <f>(1689+(($E$9-10)*79)+(($B$14-1)*668))*0.9/1.6</f>
        <v>#VALUE!</v>
      </c>
      <c r="Q638" s="139"/>
    </row>
    <row r="639" spans="1:17" s="43" customFormat="1" hidden="1">
      <c r="A639" s="69"/>
      <c r="B639" s="52">
        <v>5</v>
      </c>
      <c r="C639" s="35" t="s">
        <v>835</v>
      </c>
      <c r="D639" s="35" t="s">
        <v>833</v>
      </c>
      <c r="E639" s="221" t="str">
        <f t="shared" si="117"/>
        <v/>
      </c>
      <c r="F639" s="35"/>
      <c r="G639" s="222"/>
      <c r="J639" s="73"/>
      <c r="K639" s="139"/>
      <c r="L639" s="139"/>
      <c r="M639" s="223" t="e">
        <f t="shared" si="122"/>
        <v>#VALUE!</v>
      </c>
      <c r="N639" s="223" t="e">
        <f t="shared" si="123"/>
        <v>#VALUE!</v>
      </c>
      <c r="O639" s="43">
        <v>1.65</v>
      </c>
      <c r="P639" s="224" t="e">
        <f>(1600+(($E$9-10)*63)+(($B$14-1)*534))*0.9/1.6</f>
        <v>#VALUE!</v>
      </c>
      <c r="Q639" s="139"/>
    </row>
    <row r="640" spans="1:17" s="43" customFormat="1">
      <c r="A640" s="69">
        <f>IF($G$10=B640,1,0)</f>
        <v>0</v>
      </c>
      <c r="B640" s="345" t="s">
        <v>42</v>
      </c>
      <c r="C640" s="346" t="s">
        <v>835</v>
      </c>
      <c r="D640" s="346" t="s">
        <v>833</v>
      </c>
      <c r="E640" s="221" t="e">
        <f>IF(ISBLANK(A640),"",IF('Estimating Form'!$C$56="Yes",(A640*M640*(1-$H$3)*0.7),IF('Estimating Form'!$C$58="Yes",(A640*M640*(1-$H$3)*0.52),(A640*M640*(1-$H$3)))))</f>
        <v>#VALUE!</v>
      </c>
      <c r="F640" s="346"/>
      <c r="G640" s="222"/>
      <c r="H640" s="347"/>
      <c r="I640" s="347"/>
      <c r="J640" s="73"/>
      <c r="K640" s="139"/>
      <c r="L640" s="139"/>
      <c r="M640" s="420" t="e">
        <f>N640*2</f>
        <v>#VALUE!</v>
      </c>
      <c r="N640" s="421" t="e">
        <f>P640*O640</f>
        <v>#VALUE!</v>
      </c>
      <c r="O640" s="422">
        <v>1.65</v>
      </c>
      <c r="P640" s="425" t="e">
        <f>(2000+(($E$9-10)*79)+(($B$14-1)*668))*0.9/1.6</f>
        <v>#VALUE!</v>
      </c>
      <c r="Q640" s="139"/>
    </row>
    <row r="641" spans="1:35" s="43" customFormat="1">
      <c r="A641" s="69">
        <f>IF(B641&gt;0,IF(AND('Estimating Form'!$C$52="Yes",'Estimating Form'!$D$52="HDPE"),1,0),0)</f>
        <v>0</v>
      </c>
      <c r="B641" s="69">
        <f>SUM(A637:A640)</f>
        <v>0</v>
      </c>
      <c r="C641" s="35" t="s">
        <v>241</v>
      </c>
      <c r="D641" s="35"/>
      <c r="E641" s="221">
        <f>IF(ISBLANK(A641),"",(A641*M641*(1-$H$3))*IF(OR('Estimating Form'!G46="Yes",'Estimating Form'!G46="Required"),1.3,1))</f>
        <v>0</v>
      </c>
      <c r="F641" s="35"/>
      <c r="G641" s="222"/>
      <c r="J641" s="73"/>
      <c r="K641" s="139"/>
      <c r="L641" s="139"/>
      <c r="M641" s="415">
        <f t="shared" si="122"/>
        <v>939.26249999999993</v>
      </c>
      <c r="N641" s="415">
        <f t="shared" si="123"/>
        <v>469.63124999999997</v>
      </c>
      <c r="O641" s="416">
        <v>1.65</v>
      </c>
      <c r="P641" s="425">
        <f>(466+($E$9*30))*0.9/1.6</f>
        <v>284.625</v>
      </c>
      <c r="Q641" s="139"/>
    </row>
    <row r="642" spans="1:35" s="43" customFormat="1">
      <c r="A642" s="69">
        <f>IF(B642&gt;0,IF(AND('Estimating Form'!$C$52="Yes",'Estimating Form'!$D$52="PVC"),1,0),0)</f>
        <v>0</v>
      </c>
      <c r="B642" s="69">
        <f>SUM(A637:A640)</f>
        <v>0</v>
      </c>
      <c r="C642" s="35" t="s">
        <v>242</v>
      </c>
      <c r="D642" s="35"/>
      <c r="E642" s="221">
        <f>IF(ISBLANK(A642),"",(A642*M642*(1-$H$3))*IF(OR('Estimating Form'!G46="Yes",'Estimating Form'!G46="Required"),1.3,1))</f>
        <v>0</v>
      </c>
      <c r="F642" s="35"/>
      <c r="G642" s="222"/>
      <c r="J642" s="73"/>
      <c r="K642" s="139"/>
      <c r="L642" s="139"/>
      <c r="M642" s="415">
        <f t="shared" si="122"/>
        <v>1383.5249999999996</v>
      </c>
      <c r="N642" s="415">
        <f t="shared" si="123"/>
        <v>691.76249999999982</v>
      </c>
      <c r="O642" s="416">
        <v>1.65</v>
      </c>
      <c r="P642" s="425">
        <f>((466+($E$9*22))+250)*0.9/1.6</f>
        <v>419.24999999999994</v>
      </c>
      <c r="Q642" s="139"/>
    </row>
    <row r="643" spans="1:35" s="43" customFormat="1">
      <c r="A643" s="69">
        <f>IF($G$10=B643,1,0)</f>
        <v>0</v>
      </c>
      <c r="B643" s="52" t="s">
        <v>44</v>
      </c>
      <c r="C643" s="35" t="s">
        <v>836</v>
      </c>
      <c r="D643" s="35" t="s">
        <v>837</v>
      </c>
      <c r="E643" s="221" t="e">
        <f>IF(ISBLANK(A643),"",IF('Estimating Form'!$C$56="Yes",(A643*M643*(1-$H$3)*0.7),IF('Estimating Form'!$C$58="Yes",(A643*M643*(1-$H$3)*0.52),(A643*M643*(1-$H$3)))))</f>
        <v>#VALUE!</v>
      </c>
      <c r="F643" s="35"/>
      <c r="G643" s="222"/>
      <c r="J643" s="73"/>
      <c r="K643" s="139"/>
      <c r="L643" s="139"/>
      <c r="M643" s="415" t="e">
        <f t="shared" si="122"/>
        <v>#VALUE!</v>
      </c>
      <c r="N643" s="415" t="e">
        <f t="shared" si="123"/>
        <v>#VALUE!</v>
      </c>
      <c r="O643" s="416">
        <v>1.65</v>
      </c>
      <c r="P643" s="425" t="e">
        <f>(1580+(($E$9-10)*74)+(($B$14-1)*740))*0.9/1.6</f>
        <v>#VALUE!</v>
      </c>
      <c r="Q643" s="139"/>
    </row>
    <row r="644" spans="1:35" s="43" customFormat="1">
      <c r="A644" s="69">
        <f>IF($G$10=B644,1,0)</f>
        <v>0</v>
      </c>
      <c r="B644" s="52" t="s">
        <v>45</v>
      </c>
      <c r="C644" s="35" t="s">
        <v>838</v>
      </c>
      <c r="D644" s="35" t="s">
        <v>837</v>
      </c>
      <c r="E644" s="221" t="e">
        <f>IF(ISBLANK(A644),"",IF('Estimating Form'!$C$56="Yes",(A644*M644*(1-$H$3)*0.7),IF('Estimating Form'!$C$58="Yes",(A644*M644*(1-$H$3)*0.52),(A644*M644*(1-$H$3)))))</f>
        <v>#VALUE!</v>
      </c>
      <c r="F644" s="35"/>
      <c r="G644" s="222"/>
      <c r="J644" s="73"/>
      <c r="K644" s="139"/>
      <c r="L644" s="139"/>
      <c r="M644" s="415" t="e">
        <f t="shared" si="122"/>
        <v>#VALUE!</v>
      </c>
      <c r="N644" s="415" t="e">
        <f t="shared" si="123"/>
        <v>#VALUE!</v>
      </c>
      <c r="O644" s="416">
        <v>1.65</v>
      </c>
      <c r="P644" s="425" t="e">
        <f>(1689+(($E$9-10)*79)+(($B$14-1)*740))*0.9/1.6</f>
        <v>#VALUE!</v>
      </c>
      <c r="Q644" s="139"/>
    </row>
    <row r="645" spans="1:35" hidden="1">
      <c r="A645" s="69"/>
      <c r="B645" s="52">
        <v>5</v>
      </c>
      <c r="C645" s="35" t="s">
        <v>839</v>
      </c>
      <c r="D645" s="35" t="s">
        <v>837</v>
      </c>
      <c r="E645" s="221" t="str">
        <f t="shared" si="117"/>
        <v/>
      </c>
      <c r="F645" s="35"/>
      <c r="G645" s="222"/>
      <c r="H645" s="43"/>
      <c r="I645" s="43"/>
      <c r="J645" s="73"/>
      <c r="K645" s="139"/>
      <c r="L645" s="139"/>
      <c r="M645" s="223" t="e">
        <f t="shared" si="122"/>
        <v>#VALUE!</v>
      </c>
      <c r="N645" s="223" t="e">
        <f t="shared" si="123"/>
        <v>#VALUE!</v>
      </c>
      <c r="O645" s="43">
        <v>1.65</v>
      </c>
      <c r="P645" s="224" t="e">
        <f>(1600+(($E$9-10)*63)+(($B$14-1)*592))*0.9/1.6</f>
        <v>#VALUE!</v>
      </c>
      <c r="Q645" s="139"/>
      <c r="R645" s="43"/>
      <c r="S645" s="43"/>
      <c r="T645" s="43"/>
      <c r="U645" s="43"/>
      <c r="V645" s="43"/>
      <c r="W645" s="43"/>
      <c r="X645" s="43"/>
      <c r="Y645" s="43"/>
      <c r="Z645" s="43"/>
      <c r="AA645" s="43"/>
      <c r="AB645" s="43"/>
      <c r="AC645" s="43"/>
      <c r="AD645" s="43"/>
      <c r="AE645" s="43"/>
      <c r="AF645" s="43"/>
      <c r="AG645" s="43"/>
      <c r="AH645" s="43"/>
      <c r="AI645" s="43"/>
    </row>
    <row r="646" spans="1:35">
      <c r="A646" s="69">
        <f>IF($G$10=B646,1,0)</f>
        <v>0</v>
      </c>
      <c r="B646" s="345" t="s">
        <v>47</v>
      </c>
      <c r="C646" s="346" t="s">
        <v>839</v>
      </c>
      <c r="D646" s="346" t="s">
        <v>837</v>
      </c>
      <c r="E646" s="221" t="e">
        <f>IF(ISBLANK(A646),"",IF('Estimating Form'!$C$56="Yes",(A646*M646*(1-$H$3)*0.7),IF('Estimating Form'!$C$58="Yes",(A646*M646*(1-$H$3)*0.52),(A646*M646*(1-$H$3)))))</f>
        <v>#VALUE!</v>
      </c>
      <c r="F646" s="346"/>
      <c r="G646" s="222"/>
      <c r="H646" s="347"/>
      <c r="I646" s="347"/>
      <c r="J646" s="73"/>
      <c r="K646" s="139"/>
      <c r="L646" s="139"/>
      <c r="M646" s="421" t="e">
        <f>N646*2</f>
        <v>#VALUE!</v>
      </c>
      <c r="N646" s="421" t="e">
        <f>P646*O646</f>
        <v>#VALUE!</v>
      </c>
      <c r="O646" s="422">
        <v>1.65</v>
      </c>
      <c r="P646" s="425" t="e">
        <f>(2000+(($E$9-10)*79)+(($B$14-1)*740))*0.9/1.6</f>
        <v>#VALUE!</v>
      </c>
      <c r="Q646" s="139"/>
      <c r="R646" s="43"/>
      <c r="S646" s="43"/>
      <c r="T646" s="43"/>
      <c r="U646" s="43"/>
      <c r="V646" s="43"/>
      <c r="W646" s="43"/>
      <c r="X646" s="43"/>
      <c r="Y646" s="43"/>
      <c r="Z646" s="43"/>
      <c r="AA646" s="43"/>
      <c r="AB646" s="43"/>
      <c r="AC646" s="43"/>
      <c r="AD646" s="43"/>
      <c r="AE646" s="43"/>
      <c r="AF646" s="43"/>
      <c r="AG646" s="43"/>
      <c r="AH646" s="43"/>
      <c r="AI646" s="43"/>
    </row>
    <row r="647" spans="1:35" s="43" customFormat="1">
      <c r="A647" s="69">
        <f>IF(B647&gt;0,IF(AND('Estimating Form'!$C$52="Yes",'Estimating Form'!$D$52="HDPE"),1,0),0)</f>
        <v>0</v>
      </c>
      <c r="B647" s="69">
        <f>SUM(A643:A646)</f>
        <v>0</v>
      </c>
      <c r="C647" s="35" t="s">
        <v>243</v>
      </c>
      <c r="D647" s="35"/>
      <c r="E647" s="221">
        <f>IF(ISBLANK(A647),"",(A647*M647*(1-$H$3))*IF(OR('Estimating Form'!G46="Yes",'Estimating Form'!G46="Required"),1.3,1))</f>
        <v>0</v>
      </c>
      <c r="F647" s="35"/>
      <c r="G647" s="303"/>
      <c r="J647" s="73"/>
      <c r="K647" s="139"/>
      <c r="L647" s="139"/>
      <c r="M647" s="415">
        <f t="shared" si="122"/>
        <v>1037.64375</v>
      </c>
      <c r="N647" s="415">
        <f t="shared" si="123"/>
        <v>518.82187499999998</v>
      </c>
      <c r="O647" s="416">
        <v>1.65</v>
      </c>
      <c r="P647" s="425">
        <f>(519+(($E$9*30)))*0.9/1.6</f>
        <v>314.4375</v>
      </c>
      <c r="Q647" s="139"/>
    </row>
    <row r="648" spans="1:35" s="43" customFormat="1">
      <c r="A648" s="69">
        <f>IF(B648&gt;0,IF(AND('Estimating Form'!$C$52="Yes",'Estimating Form'!$D$52="PVC"),1,0),0)</f>
        <v>0</v>
      </c>
      <c r="B648" s="69">
        <f>SUM(A643:A646)</f>
        <v>0</v>
      </c>
      <c r="C648" s="35" t="s">
        <v>244</v>
      </c>
      <c r="D648" s="35"/>
      <c r="E648" s="221">
        <f>IF(ISBLANK(A648),"",(A648*M648*(1-$H$3))*IF(OR('Estimating Form'!G46="Yes",'Estimating Form'!G46="Required"),1.3,1))</f>
        <v>0</v>
      </c>
      <c r="F648" s="35"/>
      <c r="G648" s="303"/>
      <c r="J648" s="73"/>
      <c r="K648" s="139"/>
      <c r="L648" s="139"/>
      <c r="M648" s="415">
        <f t="shared" si="122"/>
        <v>1501.70625</v>
      </c>
      <c r="N648" s="415">
        <f t="shared" si="123"/>
        <v>750.85312499999998</v>
      </c>
      <c r="O648" s="416">
        <v>1.65</v>
      </c>
      <c r="P648" s="425">
        <f>((519+(($E$9*30)))+250)*0.9/1.6</f>
        <v>455.0625</v>
      </c>
      <c r="Q648" s="139"/>
    </row>
    <row r="649" spans="1:35" s="43" customFormat="1">
      <c r="A649" s="69">
        <f>IF($G$10=B649,1,0)</f>
        <v>0</v>
      </c>
      <c r="B649" s="52" t="s">
        <v>27</v>
      </c>
      <c r="C649" s="35" t="s">
        <v>840</v>
      </c>
      <c r="D649" s="35" t="s">
        <v>841</v>
      </c>
      <c r="E649" s="221" t="e">
        <f>IF(ISBLANK(A649),"",IF('Estimating Form'!$C$56="Yes",(A649*M649*(1-$H$3)*0.7),IF('Estimating Form'!$C$58="Yes",(A649*M649*(1-$H$3)*0.52),(A649*M649*(1-$H$3)))))</f>
        <v>#VALUE!</v>
      </c>
      <c r="F649" s="35"/>
      <c r="G649" s="222"/>
      <c r="H649" s="206"/>
      <c r="J649" s="73"/>
      <c r="K649" s="139"/>
      <c r="L649" s="139"/>
      <c r="M649" s="415" t="e">
        <f t="shared" si="122"/>
        <v>#VALUE!</v>
      </c>
      <c r="N649" s="415" t="e">
        <f t="shared" si="123"/>
        <v>#VALUE!</v>
      </c>
      <c r="O649" s="416">
        <v>1.65</v>
      </c>
      <c r="P649" s="425" t="e">
        <f>(1719+(($E$9-10)*80)+(($B$14-1)*788))*0.9/1.6</f>
        <v>#VALUE!</v>
      </c>
      <c r="Q649" s="139"/>
    </row>
    <row r="650" spans="1:35" s="43" customFormat="1">
      <c r="A650" s="69">
        <f>IF($G$10=B650,1,0)</f>
        <v>0</v>
      </c>
      <c r="B650" s="52" t="s">
        <v>53</v>
      </c>
      <c r="C650" s="35" t="s">
        <v>842</v>
      </c>
      <c r="D650" s="35" t="s">
        <v>841</v>
      </c>
      <c r="E650" s="221" t="e">
        <f>IF(ISBLANK(A650),"",IF('Estimating Form'!$C$56="Yes",(A650*M650*(1-$H$3)*0.7),IF('Estimating Form'!$C$58="Yes",(A650*M650*(1-$H$3)*0.52),(A650*M650*(1-$H$3)))))</f>
        <v>#VALUE!</v>
      </c>
      <c r="F650" s="35"/>
      <c r="G650" s="222"/>
      <c r="J650" s="73"/>
      <c r="K650" s="139"/>
      <c r="L650" s="139"/>
      <c r="M650" s="415" t="e">
        <f t="shared" si="122"/>
        <v>#VALUE!</v>
      </c>
      <c r="N650" s="415" t="e">
        <f t="shared" si="123"/>
        <v>#VALUE!</v>
      </c>
      <c r="O650" s="416">
        <v>1.65</v>
      </c>
      <c r="P650" s="425" t="e">
        <f>(1986+(($E$9-10)*105)+(($B$14-1)*788))*0.9/1.6</f>
        <v>#VALUE!</v>
      </c>
      <c r="Q650" s="139"/>
      <c r="AE650" s="30"/>
      <c r="AF650" s="30"/>
      <c r="AG650" s="30"/>
      <c r="AH650" s="30"/>
      <c r="AI650" s="30"/>
    </row>
    <row r="651" spans="1:35" s="43" customFormat="1" hidden="1">
      <c r="A651" s="69"/>
      <c r="B651" s="52">
        <v>5</v>
      </c>
      <c r="C651" s="35" t="s">
        <v>843</v>
      </c>
      <c r="D651" s="35" t="s">
        <v>841</v>
      </c>
      <c r="E651" s="221" t="str">
        <f t="shared" si="117"/>
        <v/>
      </c>
      <c r="F651" s="35"/>
      <c r="G651" s="222"/>
      <c r="J651" s="73"/>
      <c r="K651" s="139"/>
      <c r="L651" s="139"/>
      <c r="M651" s="223" t="e">
        <f t="shared" si="122"/>
        <v>#VALUE!</v>
      </c>
      <c r="N651" s="223" t="e">
        <f t="shared" si="123"/>
        <v>#VALUE!</v>
      </c>
      <c r="O651" s="43">
        <v>1.65</v>
      </c>
      <c r="P651" s="224" t="e">
        <f>(1606+(($E$9-10)*84)+(($B$14-1)*630))*0.9/1.6</f>
        <v>#VALUE!</v>
      </c>
      <c r="Q651" s="139"/>
    </row>
    <row r="652" spans="1:35" s="43" customFormat="1">
      <c r="A652" s="69">
        <f>IF($G$10=B652,1,0)</f>
        <v>0</v>
      </c>
      <c r="B652" s="345" t="s">
        <v>54</v>
      </c>
      <c r="C652" s="346" t="s">
        <v>843</v>
      </c>
      <c r="D652" s="346" t="s">
        <v>841</v>
      </c>
      <c r="E652" s="221" t="e">
        <f>IF(ISBLANK(A652),"",IF('Estimating Form'!$C$56="Yes",(A652*M652*(1-$H$3)*0.7),IF('Estimating Form'!$C$58="Yes",(A652*M652*(1-$H$3)*0.52),(A652*M652*(1-$H$3)))))</f>
        <v>#VALUE!</v>
      </c>
      <c r="F652" s="346"/>
      <c r="G652" s="222"/>
      <c r="H652" s="347"/>
      <c r="I652" s="347"/>
      <c r="J652" s="73"/>
      <c r="K652" s="139"/>
      <c r="L652" s="139"/>
      <c r="M652" s="421" t="e">
        <f>N652*2</f>
        <v>#VALUE!</v>
      </c>
      <c r="N652" s="421" t="e">
        <f>P652*O652</f>
        <v>#VALUE!</v>
      </c>
      <c r="O652" s="422">
        <v>1.65</v>
      </c>
      <c r="P652" s="425" t="e">
        <f>(2007+(($E$9-10)*105)+(($B$14-1)*788))*0.9/1.6</f>
        <v>#VALUE!</v>
      </c>
      <c r="Q652" s="139"/>
    </row>
    <row r="653" spans="1:35" s="43" customFormat="1">
      <c r="A653" s="69">
        <f>IF(B653&gt;0,IF(AND('Estimating Form'!$C$52="Yes",'Estimating Form'!$D$52="HDPE"),1,0),0)</f>
        <v>0</v>
      </c>
      <c r="B653" s="69">
        <f>SUM(A649:A652)</f>
        <v>0</v>
      </c>
      <c r="C653" s="35" t="s">
        <v>245</v>
      </c>
      <c r="D653" s="35"/>
      <c r="E653" s="221">
        <f>IF(ISBLANK(A653),"",(A653*M653*(1-$H$3))*IF(OR('Estimating Form'!G46="Yes",'Estimating Form'!G46="Required"),1.3,1))</f>
        <v>0</v>
      </c>
      <c r="F653" s="35"/>
      <c r="G653" s="303"/>
      <c r="J653" s="73"/>
      <c r="K653" s="139"/>
      <c r="L653" s="139"/>
      <c r="M653" s="415">
        <f t="shared" si="122"/>
        <v>1037.64375</v>
      </c>
      <c r="N653" s="415">
        <f t="shared" si="123"/>
        <v>518.82187499999998</v>
      </c>
      <c r="O653" s="416">
        <v>1.65</v>
      </c>
      <c r="P653" s="425">
        <f>(519+($E$9*30))*0.9/1.6</f>
        <v>314.4375</v>
      </c>
      <c r="Q653" s="139"/>
    </row>
    <row r="654" spans="1:35" s="43" customFormat="1">
      <c r="A654" s="69">
        <f>IF(B654&gt;0,IF(AND('Estimating Form'!$C$52="Yes",'Estimating Form'!$D$52="PVC"),1,0),0)</f>
        <v>0</v>
      </c>
      <c r="B654" s="69">
        <f>SUM(A649:A652)</f>
        <v>0</v>
      </c>
      <c r="C654" s="35" t="s">
        <v>246</v>
      </c>
      <c r="D654" s="35"/>
      <c r="E654" s="221">
        <f>IF(ISBLANK(A654),"",(A654*M654*(1-$H$3))*IF(OR('Estimating Form'!G46="Yes",'Estimating Form'!G46="Required"),1.3,1))</f>
        <v>0</v>
      </c>
      <c r="F654" s="35"/>
      <c r="G654" s="303"/>
      <c r="J654" s="73"/>
      <c r="K654" s="139"/>
      <c r="L654" s="139"/>
      <c r="M654" s="415">
        <f t="shared" si="122"/>
        <v>1501.70625</v>
      </c>
      <c r="N654" s="415">
        <f t="shared" si="123"/>
        <v>750.85312499999998</v>
      </c>
      <c r="O654" s="416">
        <v>1.65</v>
      </c>
      <c r="P654" s="425">
        <f>((519+($E$9*30))+250)*0.9/1.6</f>
        <v>455.0625</v>
      </c>
      <c r="Q654" s="139"/>
    </row>
    <row r="655" spans="1:35" s="43" customFormat="1">
      <c r="A655" s="69">
        <f>IF($G$10=B655,1,0)</f>
        <v>0</v>
      </c>
      <c r="B655" s="52" t="s">
        <v>56</v>
      </c>
      <c r="C655" s="35" t="s">
        <v>844</v>
      </c>
      <c r="D655" s="35" t="s">
        <v>845</v>
      </c>
      <c r="E655" s="221" t="e">
        <f>IF(ISBLANK(A655),"",IF('Estimating Form'!$C$56="Yes",(A655*M655*(1-$H$3)*0.7),IF('Estimating Form'!$C$58="Yes",(A655*M655*(1-$H$3)*0.52),(A655*M655*(1-$H$3)))))</f>
        <v>#VALUE!</v>
      </c>
      <c r="F655" s="35"/>
      <c r="G655" s="222"/>
      <c r="J655" s="73"/>
      <c r="K655" s="139"/>
      <c r="L655" s="139"/>
      <c r="M655" s="415" t="e">
        <f t="shared" si="122"/>
        <v>#VALUE!</v>
      </c>
      <c r="N655" s="415" t="e">
        <f t="shared" si="123"/>
        <v>#VALUE!</v>
      </c>
      <c r="O655" s="416">
        <v>1.65</v>
      </c>
      <c r="P655" s="425" t="e">
        <f>(2412+(($E$9-10)*119)+(($B$14-1)*935))*0.9/1.6</f>
        <v>#VALUE!</v>
      </c>
      <c r="Q655" s="139"/>
    </row>
    <row r="656" spans="1:35" s="43" customFormat="1">
      <c r="A656" s="69">
        <f>IF($G$10=B656,1,0)</f>
        <v>0</v>
      </c>
      <c r="B656" s="52" t="s">
        <v>57</v>
      </c>
      <c r="C656" s="35" t="s">
        <v>846</v>
      </c>
      <c r="D656" s="35" t="s">
        <v>845</v>
      </c>
      <c r="E656" s="221" t="e">
        <f>IF(ISBLANK(A656),"",IF('Estimating Form'!$C$56="Yes",(A656*M656*(1-$H$3)*0.7),IF('Estimating Form'!$C$58="Yes",(A656*M656*(1-$H$3)*0.52),(A656*M656*(1-$H$3)))))</f>
        <v>#VALUE!</v>
      </c>
      <c r="F656" s="35"/>
      <c r="G656" s="222"/>
      <c r="J656" s="73"/>
      <c r="K656" s="139"/>
      <c r="L656" s="139"/>
      <c r="M656" s="415" t="e">
        <f t="shared" si="122"/>
        <v>#VALUE!</v>
      </c>
      <c r="N656" s="415" t="e">
        <f t="shared" si="123"/>
        <v>#VALUE!</v>
      </c>
      <c r="O656" s="416">
        <v>1.65</v>
      </c>
      <c r="P656" s="425" t="e">
        <f>(2544+(($E$9-10)*126)+(($B$14-1)*935))*0.9/1.6</f>
        <v>#VALUE!</v>
      </c>
      <c r="Q656" s="139"/>
    </row>
    <row r="657" spans="1:17" s="43" customFormat="1">
      <c r="A657" s="69">
        <f>IF($G$10=B657,1,0)</f>
        <v>0</v>
      </c>
      <c r="B657" s="345" t="s">
        <v>59</v>
      </c>
      <c r="C657" s="346" t="s">
        <v>888</v>
      </c>
      <c r="D657" s="346" t="s">
        <v>845</v>
      </c>
      <c r="E657" s="221" t="e">
        <f>IF(ISBLANK(A657),"",IF('Estimating Form'!$C$56="Yes",(A657*M657*(1-$H$3)*0.7),IF('Estimating Form'!$C$58="Yes",(A657*M657*(1-$H$3)*0.52),(A657*M657*(1-$H$3)))))</f>
        <v>#VALUE!</v>
      </c>
      <c r="F657" s="33"/>
      <c r="G657" s="30"/>
      <c r="H657" s="206"/>
      <c r="I657" s="30"/>
      <c r="J657" s="30"/>
      <c r="K657" s="206"/>
      <c r="L657" s="206"/>
      <c r="M657" s="423" t="e">
        <f>ROUNDUP(($E$9*(46-20.19)*2.29*2)+M655,0)</f>
        <v>#VALUE!</v>
      </c>
      <c r="N657" s="415"/>
      <c r="O657" s="416"/>
      <c r="P657" s="425"/>
      <c r="Q657" s="139"/>
    </row>
    <row r="658" spans="1:17" s="43" customFormat="1">
      <c r="A658" s="69">
        <f>IF(B658&gt;0,IF(AND('Estimating Form'!$C$52="Yes",'Estimating Form'!$D$52="HDPE"),1,0),0)</f>
        <v>0</v>
      </c>
      <c r="B658" s="69">
        <f>SUM(A654:A657)</f>
        <v>0</v>
      </c>
      <c r="C658" s="35" t="s">
        <v>247</v>
      </c>
      <c r="D658" s="35"/>
      <c r="E658" s="221">
        <f>IF(ISBLANK(A658),"",(A658*M658*(1-$H$3))*IF(OR('Estimating Form'!G46="Yes",'Estimating Form'!G46="Required"),1.3,1))</f>
        <v>0</v>
      </c>
      <c r="F658" s="35"/>
      <c r="G658" s="222"/>
      <c r="J658" s="73"/>
      <c r="K658" s="139"/>
      <c r="L658" s="139"/>
      <c r="M658" s="415">
        <f t="shared" si="122"/>
        <v>2475.6187500000001</v>
      </c>
      <c r="N658" s="415">
        <f t="shared" si="123"/>
        <v>1237.809375</v>
      </c>
      <c r="O658" s="416">
        <v>1.65</v>
      </c>
      <c r="P658" s="425">
        <f>(1295+($E$9*29))*0.9/1.6</f>
        <v>750.18750000000011</v>
      </c>
      <c r="Q658" s="139"/>
    </row>
    <row r="659" spans="1:17" s="43" customFormat="1">
      <c r="A659" s="69">
        <f>IF(B659&gt;0,IF(AND('Estimating Form'!$C$52="Yes",'Estimating Form'!$D$52="PVC"),1,0),0)</f>
        <v>0</v>
      </c>
      <c r="B659" s="69">
        <f>SUM(A654:A657)</f>
        <v>0</v>
      </c>
      <c r="C659" s="35" t="s">
        <v>248</v>
      </c>
      <c r="D659" s="35"/>
      <c r="E659" s="221">
        <f>IF(ISBLANK(A659),"",(A659*M659*(1-$H$3))*IF(OR('Estimating Form'!G46="Yes",'Estimating Form'!G46="Required"),1.3,1))</f>
        <v>0</v>
      </c>
      <c r="F659" s="35"/>
      <c r="G659" s="222"/>
      <c r="J659" s="73"/>
      <c r="K659" s="139"/>
      <c r="L659" s="139"/>
      <c r="M659" s="415">
        <f t="shared" si="122"/>
        <v>2846.8687500000001</v>
      </c>
      <c r="N659" s="415">
        <f t="shared" si="123"/>
        <v>1423.434375</v>
      </c>
      <c r="O659" s="416">
        <v>1.65</v>
      </c>
      <c r="P659" s="425">
        <f>((1295+($E$9*29))+200)*0.9/1.6</f>
        <v>862.68750000000011</v>
      </c>
      <c r="Q659" s="139"/>
    </row>
    <row r="660" spans="1:17" s="43" customFormat="1">
      <c r="A660" s="69">
        <f>IF($G$10=B660,1,0)</f>
        <v>0</v>
      </c>
      <c r="B660" s="52" t="s">
        <v>60</v>
      </c>
      <c r="C660" s="35" t="s">
        <v>847</v>
      </c>
      <c r="D660" s="35" t="s">
        <v>848</v>
      </c>
      <c r="E660" s="221" t="e">
        <f>IF(ISBLANK(A660),"",IF('Estimating Form'!$C$56="Yes",(A660*M660*(1-$H$3)*0.7),IF('Estimating Form'!$C$58="Yes",(A660*M660*(1-$H$3)*0.52),(A660*M660*(1-$H$3)))))</f>
        <v>#VALUE!</v>
      </c>
      <c r="F660" s="35"/>
      <c r="G660" s="222"/>
      <c r="J660" s="73"/>
      <c r="K660" s="139"/>
      <c r="L660" s="139"/>
      <c r="M660" s="415" t="e">
        <f t="shared" si="122"/>
        <v>#VALUE!</v>
      </c>
      <c r="N660" s="415" t="e">
        <f t="shared" si="123"/>
        <v>#VALUE!</v>
      </c>
      <c r="O660" s="416">
        <v>1.65</v>
      </c>
      <c r="P660" s="425" t="e">
        <f>(3258+(($E$9-10)*120)+(($B$14-1)*970))*0.9/1.6</f>
        <v>#VALUE!</v>
      </c>
      <c r="Q660" s="139"/>
    </row>
    <row r="661" spans="1:17" s="43" customFormat="1">
      <c r="A661" s="69">
        <f>IF($G$10=B661,1,0)</f>
        <v>0</v>
      </c>
      <c r="B661" s="345" t="s">
        <v>61</v>
      </c>
      <c r="C661" s="346" t="s">
        <v>938</v>
      </c>
      <c r="D661" s="346" t="s">
        <v>848</v>
      </c>
      <c r="E661" s="221" t="e">
        <f>IF(ISBLANK(A661),"",IF('Estimating Form'!$C$56="Yes",(A661*M661*(1-$H$3)*0.7),IF('Estimating Form'!$C$58="Yes",(A661*M661*(1-$H$3)*0.52),(A661*M661*(1-$H$3)))))</f>
        <v>#VALUE!</v>
      </c>
      <c r="F661" s="33"/>
      <c r="G661" s="30"/>
      <c r="H661" s="206"/>
      <c r="I661" s="30"/>
      <c r="J661" s="30"/>
      <c r="K661" s="206"/>
      <c r="L661" s="206"/>
      <c r="M661" s="424" t="e">
        <f>ROUNDUP(($E$9*(24.95-15.64)*2.29*2)+M660,0)</f>
        <v>#VALUE!</v>
      </c>
      <c r="N661" s="415"/>
      <c r="O661" s="416"/>
      <c r="P661" s="425"/>
      <c r="Q661" s="139"/>
    </row>
    <row r="662" spans="1:17" s="43" customFormat="1">
      <c r="A662" s="69">
        <f>IF(B662&gt;0,IF(AND('Estimating Form'!$C$52="Yes",'Estimating Form'!$D$52="HDPE"),1,0),0)</f>
        <v>0</v>
      </c>
      <c r="B662" s="69">
        <f>SUM(A660:A661)</f>
        <v>0</v>
      </c>
      <c r="C662" s="35" t="s">
        <v>249</v>
      </c>
      <c r="D662" s="35"/>
      <c r="E662" s="221">
        <f>IF(ISBLANK(A662),"",(A662*M662*(1-$H$3))*IF(OR('Estimating Form'!G46="Yes",'Estimating Form'!G46="Required"),1.3,1))</f>
        <v>0</v>
      </c>
      <c r="F662" s="35"/>
      <c r="G662" s="222"/>
      <c r="J662" s="73"/>
      <c r="K662" s="139"/>
      <c r="L662" s="139"/>
      <c r="M662" s="415">
        <f t="shared" si="122"/>
        <v>2533.1624999999999</v>
      </c>
      <c r="N662" s="415">
        <f t="shared" si="123"/>
        <v>1266.58125</v>
      </c>
      <c r="O662" s="416">
        <v>1.65</v>
      </c>
      <c r="P662" s="425">
        <f>(1322+($E$9*32))*0.9/1.6</f>
        <v>767.625</v>
      </c>
      <c r="Q662" s="139"/>
    </row>
    <row r="663" spans="1:17" s="43" customFormat="1">
      <c r="A663" s="69">
        <f>IF(B663&gt;0,IF(AND('Estimating Form'!$C$52="Yes",'Estimating Form'!$D$52="PVC"),1,0),0)</f>
        <v>0</v>
      </c>
      <c r="B663" s="69">
        <f>SUM(A660:A661)</f>
        <v>0</v>
      </c>
      <c r="C663" s="35" t="s">
        <v>250</v>
      </c>
      <c r="D663" s="35"/>
      <c r="E663" s="221">
        <f>IF(ISBLANK(A663),"",(A663*M663*(1-$H$3))*IF(OR('Estimating Form'!G46="Yes",'Estimating Form'!G46="Required"),1.3,1))</f>
        <v>0</v>
      </c>
      <c r="F663" s="35"/>
      <c r="G663" s="222"/>
      <c r="J663" s="73"/>
      <c r="K663" s="139"/>
      <c r="L663" s="139"/>
      <c r="M663" s="415">
        <f t="shared" si="122"/>
        <v>3052.9124999999999</v>
      </c>
      <c r="N663" s="415">
        <f t="shared" si="123"/>
        <v>1526.45625</v>
      </c>
      <c r="O663" s="416">
        <v>1.65</v>
      </c>
      <c r="P663" s="425">
        <f>((1322+($E$9*32))+280)*0.9/1.6</f>
        <v>925.125</v>
      </c>
      <c r="Q663" s="139"/>
    </row>
    <row r="664" spans="1:17" s="43" customFormat="1">
      <c r="A664" s="69">
        <f>IF($G$10=B664,1,0)</f>
        <v>0</v>
      </c>
      <c r="B664" s="52" t="s">
        <v>62</v>
      </c>
      <c r="C664" s="35" t="s">
        <v>849</v>
      </c>
      <c r="D664" s="35" t="s">
        <v>850</v>
      </c>
      <c r="E664" s="221" t="e">
        <f>IF(ISBLANK(A664),"",IF('Estimating Form'!$C$56="Yes",(A664*M664*(1-$H$3)*0.7),IF('Estimating Form'!$C$58="Yes",(A664*M664*(1-$H$3)*0.52),(A664*M664*(1-$H$3)))))</f>
        <v>#VALUE!</v>
      </c>
      <c r="F664" s="35"/>
      <c r="G664" s="222"/>
      <c r="J664" s="73"/>
      <c r="K664" s="139"/>
      <c r="L664" s="139"/>
      <c r="M664" s="415" t="e">
        <f t="shared" si="122"/>
        <v>#VALUE!</v>
      </c>
      <c r="N664" s="415" t="e">
        <f t="shared" si="123"/>
        <v>#VALUE!</v>
      </c>
      <c r="O664" s="416">
        <v>1.65</v>
      </c>
      <c r="P664" s="425" t="e">
        <f>(3770+(($E$9-10)*151)+(($B$14-1)*1103))*0.9/1.6</f>
        <v>#VALUE!</v>
      </c>
    </row>
    <row r="665" spans="1:17" s="43" customFormat="1">
      <c r="A665" s="69">
        <f>IF(B665&gt;0,IF(AND('Estimating Form'!$C$52="Yes",'Estimating Form'!$D$52="HDPE"),1,0),0)</f>
        <v>0</v>
      </c>
      <c r="B665" s="69">
        <f>$A$664</f>
        <v>0</v>
      </c>
      <c r="C665" s="35" t="s">
        <v>251</v>
      </c>
      <c r="D665" s="35"/>
      <c r="E665" s="221">
        <f>IF(ISBLANK(A665),"",(A665*M665*(1-$H$3))*IF(OR('Estimating Form'!G46="Yes",'Estimating Form'!G46="Required"),1.3,1))</f>
        <v>0</v>
      </c>
      <c r="F665" s="35"/>
      <c r="G665" s="222"/>
      <c r="J665" s="73"/>
      <c r="M665" s="415">
        <f t="shared" si="122"/>
        <v>2791.7999999999997</v>
      </c>
      <c r="N665" s="415">
        <f t="shared" si="123"/>
        <v>1395.8999999999999</v>
      </c>
      <c r="O665" s="416">
        <v>1.65</v>
      </c>
      <c r="P665" s="425">
        <f>(1448+($E$9*42))*0.9/1.6</f>
        <v>846</v>
      </c>
    </row>
    <row r="666" spans="1:17" s="43" customFormat="1">
      <c r="A666" s="69">
        <f>IF(B666&gt;0,IF(AND('Estimating Form'!$C$52="Yes",'Estimating Form'!$D$52="PVC"),1,0),0)</f>
        <v>0</v>
      </c>
      <c r="B666" s="69">
        <f>$A$664</f>
        <v>0</v>
      </c>
      <c r="C666" s="35" t="s">
        <v>252</v>
      </c>
      <c r="D666" s="35"/>
      <c r="E666" s="221">
        <f>IF(ISBLANK(A666),"",(A666*M666*(1-$H$3))*IF(OR('Estimating Form'!G46="Yes",'Estimating Form'!G46="Required"),1.3,1))</f>
        <v>0</v>
      </c>
      <c r="F666" s="35"/>
      <c r="G666" s="222"/>
      <c r="J666" s="73"/>
      <c r="M666" s="415">
        <f t="shared" si="122"/>
        <v>3311.5499999999997</v>
      </c>
      <c r="N666" s="415">
        <f t="shared" si="123"/>
        <v>1655.7749999999999</v>
      </c>
      <c r="O666" s="416">
        <v>1.65</v>
      </c>
      <c r="P666" s="425">
        <f>((1448+($E$9*42))+280)*0.9/1.6</f>
        <v>1003.5</v>
      </c>
    </row>
    <row r="667" spans="1:17" s="43" customFormat="1">
      <c r="A667" s="69">
        <f>IF($G$10=B667,1,0)</f>
        <v>0</v>
      </c>
      <c r="B667" s="52" t="s">
        <v>64</v>
      </c>
      <c r="C667" s="35" t="s">
        <v>851</v>
      </c>
      <c r="D667" s="35" t="s">
        <v>852</v>
      </c>
      <c r="E667" s="221" t="e">
        <f>IF(ISBLANK(A667),"",IF('Estimating Form'!$C$56="Yes",(A667*M667*(1-$H$3)*0.7),IF('Estimating Form'!$C$58="Yes",(A667*M667*(1-$H$3)*0.52),(A667*M667*(1-$H$3)))))</f>
        <v>#VALUE!</v>
      </c>
      <c r="F667" s="35"/>
      <c r="G667" s="222"/>
      <c r="J667" s="73"/>
      <c r="M667" s="415" t="e">
        <f t="shared" si="122"/>
        <v>#VALUE!</v>
      </c>
      <c r="N667" s="415" t="e">
        <f t="shared" si="123"/>
        <v>#VALUE!</v>
      </c>
      <c r="O667" s="416">
        <v>1.65</v>
      </c>
      <c r="P667" s="425" t="e">
        <f>(7540+(($E$9-10)*302)+(($B$14-1)*1190))*0.9/1.6</f>
        <v>#VALUE!</v>
      </c>
    </row>
    <row r="668" spans="1:17" s="43" customFormat="1">
      <c r="A668" s="69">
        <f>IF(B668&gt;0,IF(AND('Estimating Form'!$C$52="Yes",'Estimating Form'!$D$52="HDPE"),1,0),0)</f>
        <v>0</v>
      </c>
      <c r="B668" s="69">
        <f>$A$667</f>
        <v>0</v>
      </c>
      <c r="C668" s="35" t="s">
        <v>253</v>
      </c>
      <c r="D668" s="35"/>
      <c r="E668" s="221">
        <f>IF(ISBLANK(A668),"",(A668*M668*(1-$H$3))*IF(OR('Estimating Form'!G46="Yes",'Estimating Form'!G46="Required"),1.3,1))</f>
        <v>0</v>
      </c>
      <c r="F668" s="35"/>
      <c r="G668" s="222"/>
      <c r="J668" s="73"/>
      <c r="M668" s="415">
        <f t="shared" si="122"/>
        <v>2791.7999999999997</v>
      </c>
      <c r="N668" s="415">
        <f t="shared" si="123"/>
        <v>1395.8999999999999</v>
      </c>
      <c r="O668" s="416">
        <v>1.65</v>
      </c>
      <c r="P668" s="425">
        <f>(1448+($E$9*42))*0.9/1.6</f>
        <v>846</v>
      </c>
    </row>
    <row r="669" spans="1:17" s="43" customFormat="1">
      <c r="A669" s="69">
        <f>IF(B669&gt;0,IF(AND('Estimating Form'!$C$52="Yes",'Estimating Form'!$D$52="PVC"),1,0),0)</f>
        <v>0</v>
      </c>
      <c r="B669" s="69">
        <f>$A$667</f>
        <v>0</v>
      </c>
      <c r="C669" s="35" t="s">
        <v>254</v>
      </c>
      <c r="D669" s="35"/>
      <c r="E669" s="221">
        <f>IF(ISBLANK(A669),"",(A669*M669*(1-$H$3))*IF(OR('Estimating Form'!G46="Yes",'Estimating Form'!G46="Required"),1.3,1))</f>
        <v>0</v>
      </c>
      <c r="F669" s="35"/>
      <c r="G669" s="222"/>
      <c r="J669" s="73"/>
      <c r="M669" s="415">
        <f t="shared" si="122"/>
        <v>3311.5499999999997</v>
      </c>
      <c r="N669" s="415">
        <f t="shared" si="123"/>
        <v>1655.7749999999999</v>
      </c>
      <c r="O669" s="416">
        <v>1.65</v>
      </c>
      <c r="P669" s="425">
        <f>((1448+($E$9*42))+280)*0.9/1.6</f>
        <v>1003.5</v>
      </c>
      <c r="Q669" s="139"/>
    </row>
    <row r="670" spans="1:17" s="43" customFormat="1" hidden="1">
      <c r="A670" s="69"/>
      <c r="B670" s="52">
        <v>5</v>
      </c>
      <c r="C670" s="35" t="s">
        <v>853</v>
      </c>
      <c r="D670" s="35" t="s">
        <v>854</v>
      </c>
      <c r="E670" s="221" t="str">
        <f t="shared" si="117"/>
        <v/>
      </c>
      <c r="F670" s="35"/>
      <c r="G670" s="222"/>
      <c r="J670" s="73"/>
      <c r="K670" s="139"/>
      <c r="L670" s="139"/>
      <c r="M670" s="223" t="e">
        <f t="shared" si="122"/>
        <v>#VALUE!</v>
      </c>
      <c r="N670" s="223" t="e">
        <f t="shared" si="123"/>
        <v>#VALUE!</v>
      </c>
      <c r="O670" s="43">
        <v>1.65</v>
      </c>
      <c r="P670" s="224" t="e">
        <f>(2761+(($E$9-10)*122)+(($B$14-1)*798))*0.9/1.6</f>
        <v>#VALUE!</v>
      </c>
      <c r="Q670" s="139"/>
    </row>
    <row r="671" spans="1:17" s="43" customFormat="1" hidden="1">
      <c r="A671" s="69"/>
      <c r="B671" s="52">
        <v>5</v>
      </c>
      <c r="C671" s="35" t="s">
        <v>255</v>
      </c>
      <c r="D671" s="35"/>
      <c r="E671" s="221" t="str">
        <f t="shared" si="117"/>
        <v/>
      </c>
      <c r="F671" s="35"/>
      <c r="G671" s="222"/>
      <c r="J671" s="73"/>
      <c r="K671" s="139"/>
      <c r="L671" s="139"/>
      <c r="M671" s="223">
        <f t="shared" si="122"/>
        <v>3023.8312499999997</v>
      </c>
      <c r="N671" s="223">
        <f t="shared" si="123"/>
        <v>1511.9156249999999</v>
      </c>
      <c r="O671" s="43">
        <v>1.65</v>
      </c>
      <c r="P671" s="224">
        <f>(1577+($E$9*39))*0.9/1.6</f>
        <v>916.3125</v>
      </c>
      <c r="Q671" s="139"/>
    </row>
    <row r="672" spans="1:17" s="43" customFormat="1" hidden="1">
      <c r="A672" s="69"/>
      <c r="B672" s="52">
        <v>5</v>
      </c>
      <c r="C672" s="35" t="s">
        <v>256</v>
      </c>
      <c r="D672" s="35"/>
      <c r="E672" s="221" t="str">
        <f t="shared" si="117"/>
        <v/>
      </c>
      <c r="F672" s="35"/>
      <c r="G672" s="222"/>
      <c r="J672" s="73"/>
      <c r="K672" s="139"/>
      <c r="L672" s="139"/>
      <c r="M672" s="223">
        <f t="shared" si="122"/>
        <v>3395.0812499999997</v>
      </c>
      <c r="N672" s="223">
        <f t="shared" si="123"/>
        <v>1697.5406249999999</v>
      </c>
      <c r="O672" s="43">
        <v>1.65</v>
      </c>
      <c r="P672" s="224">
        <f>((1577+($E$9*39))+200)*0.9/1.6</f>
        <v>1028.8125</v>
      </c>
      <c r="Q672" s="139"/>
    </row>
    <row r="673" spans="1:35" s="43" customFormat="1" hidden="1">
      <c r="A673" s="69"/>
      <c r="B673" s="52">
        <v>5</v>
      </c>
      <c r="C673" s="35" t="s">
        <v>855</v>
      </c>
      <c r="D673" s="35" t="s">
        <v>257</v>
      </c>
      <c r="E673" s="221" t="str">
        <f t="shared" si="117"/>
        <v/>
      </c>
      <c r="F673" s="35"/>
      <c r="G673" s="222"/>
      <c r="J673" s="73"/>
      <c r="K673" s="139"/>
      <c r="L673" s="139"/>
      <c r="M673" s="223" t="e">
        <f t="shared" si="122"/>
        <v>#VALUE!</v>
      </c>
      <c r="N673" s="223" t="e">
        <f t="shared" si="123"/>
        <v>#VALUE!</v>
      </c>
      <c r="O673" s="43">
        <v>1.65</v>
      </c>
      <c r="P673" s="224" t="e">
        <f>(5892+(($E$9-10)*342)+(($B$14-1)*1199))*0.9/1.6</f>
        <v>#VALUE!</v>
      </c>
      <c r="Q673" s="139"/>
    </row>
    <row r="674" spans="1:35" s="43" customFormat="1" hidden="1">
      <c r="A674" s="69"/>
      <c r="B674" s="52">
        <v>5</v>
      </c>
      <c r="C674" s="35" t="s">
        <v>258</v>
      </c>
      <c r="D674" s="35"/>
      <c r="E674" s="221" t="str">
        <f t="shared" si="117"/>
        <v/>
      </c>
      <c r="F674" s="35"/>
      <c r="G674" s="222"/>
      <c r="J674" s="73"/>
      <c r="K674" s="139"/>
      <c r="L674" s="139"/>
      <c r="M674" s="223">
        <f t="shared" si="122"/>
        <v>4053.4312499999996</v>
      </c>
      <c r="N674" s="223">
        <f t="shared" si="123"/>
        <v>2026.7156249999998</v>
      </c>
      <c r="O674" s="43">
        <v>1.65</v>
      </c>
      <c r="P674" s="224">
        <f>(2109+($E$9*56))*0.9/1.6</f>
        <v>1228.3125</v>
      </c>
      <c r="Q674" s="139"/>
    </row>
    <row r="675" spans="1:35" s="43" customFormat="1" hidden="1">
      <c r="A675" s="69"/>
      <c r="B675" s="52">
        <v>5</v>
      </c>
      <c r="C675" s="35" t="s">
        <v>259</v>
      </c>
      <c r="D675" s="35"/>
      <c r="E675" s="221" t="str">
        <f t="shared" si="117"/>
        <v/>
      </c>
      <c r="F675" s="35"/>
      <c r="G675" s="222"/>
      <c r="J675" s="73"/>
      <c r="K675" s="139"/>
      <c r="L675" s="139"/>
      <c r="M675" s="223">
        <f t="shared" si="122"/>
        <v>4424.6812499999987</v>
      </c>
      <c r="N675" s="223">
        <f t="shared" si="123"/>
        <v>2212.3406249999994</v>
      </c>
      <c r="O675" s="43">
        <v>1.65</v>
      </c>
      <c r="P675" s="224">
        <f>((2109+($E$9*56))+200)*0.9/1.6</f>
        <v>1340.8124999999998</v>
      </c>
      <c r="Q675" s="139"/>
    </row>
    <row r="676" spans="1:35" s="43" customFormat="1">
      <c r="A676" s="69">
        <v>1</v>
      </c>
      <c r="B676" s="52">
        <v>5</v>
      </c>
      <c r="C676" s="35" t="s">
        <v>260</v>
      </c>
      <c r="D676" s="35"/>
      <c r="E676" s="221" t="e">
        <f>IF(ISBLANK(A676),"",(A676*M676*(1-$H$3)))</f>
        <v>#N/A</v>
      </c>
      <c r="F676" s="35"/>
      <c r="G676" s="222"/>
      <c r="J676" s="73"/>
      <c r="K676" s="139"/>
      <c r="L676" s="139"/>
      <c r="M676" s="415" t="e">
        <f t="shared" si="122"/>
        <v>#N/A</v>
      </c>
      <c r="N676" s="415" t="e">
        <f t="shared" si="123"/>
        <v>#N/A</v>
      </c>
      <c r="O676" s="416">
        <v>1.65</v>
      </c>
      <c r="P676" s="425" t="e">
        <f>IF($G$5&lt;4001,(98),IF($G$5&lt;6001,(108),IF($G$5&lt;8001,(138),IF($G$5&lt;12001,(170),IF($G$5&lt;18000,(188),IF($G$5&lt;24000,(218),IF($G$5&lt;48000,(342))))))))*0.9/1.6</f>
        <v>#N/A</v>
      </c>
      <c r="Q676" s="139"/>
    </row>
    <row r="677" spans="1:35" s="43" customFormat="1" hidden="1">
      <c r="A677" s="69"/>
      <c r="B677" s="52">
        <v>5</v>
      </c>
      <c r="C677" s="35" t="s">
        <v>261</v>
      </c>
      <c r="D677" s="35"/>
      <c r="E677" s="221" t="str">
        <f t="shared" si="117"/>
        <v/>
      </c>
      <c r="F677" s="35" t="s">
        <v>262</v>
      </c>
      <c r="G677" s="222" t="s">
        <v>263</v>
      </c>
      <c r="J677" s="73"/>
      <c r="K677" s="139"/>
      <c r="L677" s="139"/>
      <c r="M677" s="139"/>
      <c r="N677" s="139"/>
      <c r="O677" s="139"/>
      <c r="P677" s="139"/>
      <c r="Q677" s="139"/>
    </row>
    <row r="678" spans="1:35" s="43" customFormat="1" hidden="1">
      <c r="A678" s="69"/>
      <c r="B678" s="52">
        <v>5</v>
      </c>
      <c r="C678" s="35" t="s">
        <v>264</v>
      </c>
      <c r="D678" s="35"/>
      <c r="E678" s="221" t="str">
        <f t="shared" si="117"/>
        <v/>
      </c>
      <c r="F678" s="35" t="s">
        <v>262</v>
      </c>
      <c r="G678" s="222" t="s">
        <v>265</v>
      </c>
      <c r="J678" s="73"/>
      <c r="K678" s="139"/>
      <c r="L678" s="139"/>
      <c r="M678" s="139"/>
      <c r="N678" s="139"/>
      <c r="O678" s="139"/>
      <c r="P678" s="139"/>
      <c r="Q678" s="139"/>
    </row>
    <row r="679" spans="1:35" s="43" customFormat="1" hidden="1">
      <c r="A679" s="69"/>
      <c r="B679" s="52">
        <v>5</v>
      </c>
      <c r="C679" s="35" t="s">
        <v>266</v>
      </c>
      <c r="D679" s="35"/>
      <c r="E679" s="221" t="str">
        <f t="shared" ref="E679:E687" si="124">IF(ISBLANK(A679),"",(A679*M679*(1-$H$3)))</f>
        <v/>
      </c>
      <c r="F679" s="35"/>
      <c r="G679" s="222"/>
      <c r="J679" s="73"/>
      <c r="K679" s="139"/>
      <c r="L679" s="139"/>
      <c r="M679" s="223">
        <f>N679*2</f>
        <v>343.1904069767441</v>
      </c>
      <c r="N679" s="223">
        <f>P679*O679</f>
        <v>171.59520348837205</v>
      </c>
      <c r="O679" s="43">
        <v>1.65</v>
      </c>
      <c r="P679" s="224">
        <f>159/0.86*0.9/1.6</f>
        <v>103.9970930232558</v>
      </c>
      <c r="Q679" s="139"/>
    </row>
    <row r="680" spans="1:35" s="43" customFormat="1" hidden="1">
      <c r="A680" s="69"/>
      <c r="B680" s="52">
        <v>5</v>
      </c>
      <c r="C680" s="35" t="s">
        <v>267</v>
      </c>
      <c r="D680" s="35"/>
      <c r="E680" s="221" t="str">
        <f t="shared" si="124"/>
        <v/>
      </c>
      <c r="F680" s="35"/>
      <c r="G680" s="222"/>
      <c r="J680" s="73"/>
      <c r="K680" s="139"/>
      <c r="L680" s="139"/>
      <c r="M680" s="223">
        <f t="shared" ref="M680:M687" si="125">N680*2</f>
        <v>59.4</v>
      </c>
      <c r="N680" s="223">
        <f t="shared" ref="N680:N687" si="126">P680*O680</f>
        <v>29.7</v>
      </c>
      <c r="O680" s="43">
        <v>1.65</v>
      </c>
      <c r="P680" s="224">
        <f>32*0.9/1.6</f>
        <v>18</v>
      </c>
      <c r="Q680" s="139"/>
    </row>
    <row r="681" spans="1:35" s="43" customFormat="1" hidden="1">
      <c r="A681" s="69"/>
      <c r="B681" s="69"/>
      <c r="C681" s="35" t="s">
        <v>856</v>
      </c>
      <c r="D681" s="35"/>
      <c r="E681" s="221" t="str">
        <f t="shared" si="124"/>
        <v/>
      </c>
      <c r="F681" s="35"/>
      <c r="G681" s="222"/>
      <c r="J681" s="73"/>
      <c r="K681" s="139"/>
      <c r="L681" s="139"/>
      <c r="M681" s="223">
        <f t="shared" si="125"/>
        <v>14.389534883720929</v>
      </c>
      <c r="N681" s="223">
        <f t="shared" si="126"/>
        <v>7.1947674418604644</v>
      </c>
      <c r="O681" s="43">
        <v>1.65</v>
      </c>
      <c r="P681" s="224">
        <f>$E$9*5/0.86*0.9/1.6</f>
        <v>4.3604651162790695</v>
      </c>
      <c r="Q681" s="139"/>
    </row>
    <row r="682" spans="1:35" s="43" customFormat="1" hidden="1">
      <c r="A682" s="69"/>
      <c r="B682" s="69"/>
      <c r="C682" s="35" t="s">
        <v>857</v>
      </c>
      <c r="D682" s="35"/>
      <c r="E682" s="221" t="str">
        <f t="shared" si="124"/>
        <v/>
      </c>
      <c r="F682" s="35"/>
      <c r="G682" s="222"/>
      <c r="K682" s="139"/>
      <c r="L682" s="139"/>
      <c r="M682" s="223">
        <f t="shared" si="125"/>
        <v>17.267441860465116</v>
      </c>
      <c r="N682" s="223">
        <f t="shared" si="126"/>
        <v>8.6337209302325579</v>
      </c>
      <c r="O682" s="43">
        <v>1.65</v>
      </c>
      <c r="P682" s="224">
        <f>$E$9*6/0.86*0.9/1.6</f>
        <v>5.2325581395348841</v>
      </c>
      <c r="Q682" s="139"/>
    </row>
    <row r="683" spans="1:35" s="43" customFormat="1" hidden="1">
      <c r="A683" s="69"/>
      <c r="B683" s="69"/>
      <c r="C683" s="35" t="s">
        <v>858</v>
      </c>
      <c r="D683" s="35"/>
      <c r="E683" s="221" t="str">
        <f t="shared" si="124"/>
        <v/>
      </c>
      <c r="F683" s="35"/>
      <c r="G683" s="222"/>
      <c r="K683" s="139"/>
      <c r="L683" s="139"/>
      <c r="M683" s="223">
        <f t="shared" si="125"/>
        <v>20.145348837209298</v>
      </c>
      <c r="N683" s="223">
        <f t="shared" si="126"/>
        <v>10.072674418604649</v>
      </c>
      <c r="O683" s="43">
        <v>1.65</v>
      </c>
      <c r="P683" s="224">
        <f>$E$9*7/0.86*0.9/1.6</f>
        <v>6.1046511627906961</v>
      </c>
      <c r="Q683" s="139"/>
    </row>
    <row r="684" spans="1:35" s="43" customFormat="1" hidden="1">
      <c r="A684" s="69"/>
      <c r="B684" s="69"/>
      <c r="C684" s="35" t="s">
        <v>859</v>
      </c>
      <c r="D684" s="35"/>
      <c r="E684" s="221" t="str">
        <f t="shared" si="124"/>
        <v/>
      </c>
      <c r="F684" s="35"/>
      <c r="G684" s="222"/>
      <c r="K684" s="139"/>
      <c r="L684" s="139"/>
      <c r="M684" s="223">
        <f t="shared" si="125"/>
        <v>23.023255813953483</v>
      </c>
      <c r="N684" s="223">
        <f t="shared" si="126"/>
        <v>11.511627906976742</v>
      </c>
      <c r="O684" s="43">
        <v>1.65</v>
      </c>
      <c r="P684" s="224">
        <f>$E$9*8/0.86*0.9/1.6</f>
        <v>6.9767441860465107</v>
      </c>
      <c r="Q684" s="139"/>
    </row>
    <row r="685" spans="1:35" s="43" customFormat="1" hidden="1">
      <c r="A685" s="69"/>
      <c r="B685" s="69"/>
      <c r="C685" s="35" t="s">
        <v>860</v>
      </c>
      <c r="D685" s="35"/>
      <c r="E685" s="221" t="str">
        <f t="shared" si="124"/>
        <v/>
      </c>
      <c r="F685" s="35"/>
      <c r="G685" s="222"/>
      <c r="K685" s="139"/>
      <c r="L685" s="139"/>
      <c r="M685" s="223">
        <f t="shared" si="125"/>
        <v>25.901162790697676</v>
      </c>
      <c r="N685" s="223">
        <f t="shared" si="126"/>
        <v>12.950581395348838</v>
      </c>
      <c r="O685" s="43">
        <v>1.65</v>
      </c>
      <c r="P685" s="224">
        <f>$E$9*9/0.86*0.9/1.6</f>
        <v>7.8488372093023262</v>
      </c>
      <c r="Q685" s="139"/>
    </row>
    <row r="686" spans="1:35" s="43" customFormat="1" hidden="1">
      <c r="A686" s="69"/>
      <c r="B686" s="52">
        <v>5</v>
      </c>
      <c r="C686" s="35" t="s">
        <v>861</v>
      </c>
      <c r="D686" s="35"/>
      <c r="E686" s="221" t="str">
        <f t="shared" si="124"/>
        <v/>
      </c>
      <c r="F686" s="35"/>
      <c r="G686" s="222"/>
      <c r="K686" s="139"/>
      <c r="L686" s="139"/>
      <c r="M686" s="223">
        <f t="shared" si="125"/>
        <v>31.656976744186039</v>
      </c>
      <c r="N686" s="223">
        <f t="shared" si="126"/>
        <v>15.82848837209302</v>
      </c>
      <c r="O686" s="43">
        <v>1.65</v>
      </c>
      <c r="P686" s="224">
        <f>$E$9*11/0.86*0.9/1.6</f>
        <v>9.5930232558139519</v>
      </c>
      <c r="Q686" s="139"/>
    </row>
    <row r="687" spans="1:35" s="73" customFormat="1" hidden="1">
      <c r="A687" s="69"/>
      <c r="B687" s="52">
        <v>5</v>
      </c>
      <c r="C687" s="35" t="s">
        <v>862</v>
      </c>
      <c r="D687" s="35"/>
      <c r="E687" s="221" t="str">
        <f t="shared" si="124"/>
        <v/>
      </c>
      <c r="F687" s="35"/>
      <c r="G687" s="222"/>
      <c r="H687" s="43"/>
      <c r="I687" s="43"/>
      <c r="J687" s="43"/>
      <c r="K687" s="139"/>
      <c r="L687" s="139"/>
      <c r="M687" s="223">
        <f t="shared" si="125"/>
        <v>40.290697674418595</v>
      </c>
      <c r="N687" s="223">
        <f t="shared" si="126"/>
        <v>20.145348837209298</v>
      </c>
      <c r="O687" s="43">
        <v>1.65</v>
      </c>
      <c r="P687" s="224">
        <f>$E$9*14/0.86*0.9/1.6</f>
        <v>12.209302325581392</v>
      </c>
      <c r="Q687" s="139"/>
      <c r="R687" s="43"/>
      <c r="S687" s="30"/>
      <c r="T687" s="30"/>
      <c r="U687" s="30"/>
      <c r="V687" s="30"/>
      <c r="W687" s="30"/>
      <c r="X687" s="30"/>
      <c r="Y687" s="30"/>
      <c r="Z687" s="30"/>
      <c r="AA687" s="30"/>
      <c r="AB687" s="30"/>
      <c r="AC687" s="43"/>
      <c r="AD687" s="43"/>
      <c r="AE687" s="43"/>
      <c r="AF687" s="43"/>
      <c r="AG687" s="43"/>
      <c r="AH687" s="43"/>
      <c r="AI687" s="43"/>
    </row>
    <row r="688" spans="1:35" s="73" customFormat="1">
      <c r="A688" s="52">
        <f>IF(B688&gt;0,IF(OR('Estimating Form'!$G$46="Yes",'Estimating Form'!$G$46="Required"),1,0),0)</f>
        <v>0</v>
      </c>
      <c r="B688" s="69">
        <f>SUM($A$637:$A$640)</f>
        <v>0</v>
      </c>
      <c r="C688" s="35" t="s">
        <v>503</v>
      </c>
      <c r="D688" s="43"/>
      <c r="E688" s="289">
        <f>IF(ISBLANK(A688),"",(A688*M688*(1-$H$3)))</f>
        <v>0</v>
      </c>
      <c r="F688" s="43"/>
      <c r="G688" s="43"/>
      <c r="I688" s="43"/>
      <c r="J688" s="43"/>
      <c r="K688" s="139"/>
      <c r="L688" s="139"/>
      <c r="M688" s="415">
        <f t="shared" ref="M688" si="127">N688*2</f>
        <v>338.96296296296299</v>
      </c>
      <c r="N688" s="415">
        <f t="shared" ref="N688" si="128">P688*O688</f>
        <v>169.4814814814815</v>
      </c>
      <c r="O688" s="416">
        <v>1.65</v>
      </c>
      <c r="P688" s="426">
        <f>((233+($E$9*4))*0.8*0.8/0.9)/1.65</f>
        <v>102.71604938271606</v>
      </c>
      <c r="Q688" s="139"/>
      <c r="R688" s="43"/>
      <c r="S688" s="43"/>
      <c r="T688" s="43"/>
      <c r="U688" s="43"/>
      <c r="V688" s="43"/>
      <c r="W688" s="43"/>
      <c r="X688" s="43"/>
      <c r="Y688" s="43"/>
      <c r="Z688" s="43"/>
      <c r="AA688" s="43"/>
      <c r="AB688" s="43"/>
      <c r="AC688" s="43"/>
      <c r="AD688" s="43"/>
      <c r="AE688" s="43"/>
      <c r="AF688" s="43"/>
      <c r="AG688" s="43"/>
      <c r="AH688" s="43"/>
      <c r="AI688" s="43"/>
    </row>
    <row r="689" spans="1:35" s="73" customFormat="1">
      <c r="A689" s="52">
        <f>IF(B689&gt;0,IF(OR('Estimating Form'!$G$46="Yes",'Estimating Form'!$G$46="Required"),1,0),0)</f>
        <v>0</v>
      </c>
      <c r="B689" s="69">
        <f>SUM($A$643:$A$646)</f>
        <v>0</v>
      </c>
      <c r="C689" s="35" t="s">
        <v>509</v>
      </c>
      <c r="D689" s="43"/>
      <c r="E689" s="289">
        <f t="shared" ref="E689:E692" si="129">IF(ISBLANK(A689),"",(A689*M689*(1-$H$3)))</f>
        <v>0</v>
      </c>
      <c r="F689" s="43"/>
      <c r="G689" s="43"/>
      <c r="I689" s="43"/>
      <c r="J689" s="43"/>
      <c r="K689" s="139"/>
      <c r="L689" s="139"/>
      <c r="M689" s="415">
        <f t="shared" ref="M689:M692" si="130">N689*2</f>
        <v>398.69629629629628</v>
      </c>
      <c r="N689" s="415">
        <f t="shared" ref="N689:N692" si="131">P689*O689</f>
        <v>199.34814814814814</v>
      </c>
      <c r="O689" s="416">
        <v>1.65</v>
      </c>
      <c r="P689" s="426">
        <f>((275+($E$9*4))*0.8*0.8/0.9)/1.65</f>
        <v>120.81705948372615</v>
      </c>
      <c r="Q689" s="139"/>
      <c r="R689" s="43"/>
      <c r="S689" s="43"/>
      <c r="T689" s="43"/>
      <c r="U689" s="43"/>
      <c r="V689" s="43"/>
      <c r="W689" s="43"/>
      <c r="X689" s="43"/>
      <c r="Y689" s="43"/>
      <c r="Z689" s="43"/>
      <c r="AA689" s="43"/>
      <c r="AB689" s="43"/>
      <c r="AC689" s="43"/>
      <c r="AD689" s="43"/>
      <c r="AE689" s="43"/>
      <c r="AF689" s="43"/>
      <c r="AG689" s="43"/>
      <c r="AH689" s="43"/>
      <c r="AI689" s="43"/>
    </row>
    <row r="690" spans="1:35" s="73" customFormat="1">
      <c r="A690" s="52">
        <f>IF(B690&gt;0,IF(OR('Estimating Form'!$G$46="Yes",'Estimating Form'!$G$46="Required"),1,0),0)</f>
        <v>0</v>
      </c>
      <c r="B690" s="69">
        <f>SUM($A$649:$A$652)</f>
        <v>0</v>
      </c>
      <c r="C690" s="35" t="s">
        <v>508</v>
      </c>
      <c r="D690" s="43"/>
      <c r="E690" s="289">
        <f t="shared" si="129"/>
        <v>0</v>
      </c>
      <c r="F690" s="43"/>
      <c r="G690" s="43"/>
      <c r="I690" s="43"/>
      <c r="J690" s="43"/>
      <c r="K690" s="139"/>
      <c r="L690" s="139"/>
      <c r="M690" s="415">
        <f t="shared" si="130"/>
        <v>398.69629629629628</v>
      </c>
      <c r="N690" s="415">
        <f t="shared" si="131"/>
        <v>199.34814814814814</v>
      </c>
      <c r="O690" s="416">
        <v>1.65</v>
      </c>
      <c r="P690" s="426">
        <f>((275+($E$9*4))*0.8*0.8/0.9)/1.65</f>
        <v>120.81705948372615</v>
      </c>
      <c r="Q690" s="139"/>
      <c r="R690" s="43"/>
      <c r="S690" s="43"/>
      <c r="T690" s="43"/>
      <c r="U690" s="43"/>
      <c r="V690" s="43"/>
      <c r="W690" s="43"/>
      <c r="X690" s="43"/>
      <c r="Y690" s="43"/>
      <c r="Z690" s="43"/>
      <c r="AA690" s="43"/>
      <c r="AB690" s="43"/>
      <c r="AC690" s="43"/>
      <c r="AD690" s="43"/>
      <c r="AE690" s="43"/>
      <c r="AF690" s="43"/>
      <c r="AG690" s="43"/>
      <c r="AH690" s="43"/>
      <c r="AI690" s="43"/>
    </row>
    <row r="691" spans="1:35" s="73" customFormat="1">
      <c r="A691" s="52">
        <f>IF(B691&gt;0,IF(OR('Estimating Form'!$G$46="Yes",'Estimating Form'!$G$46="Required"),1,0),0)</f>
        <v>0</v>
      </c>
      <c r="B691" s="69">
        <f>SUM($A$655:$A$657)</f>
        <v>0</v>
      </c>
      <c r="C691" s="35" t="s">
        <v>507</v>
      </c>
      <c r="D691" s="43"/>
      <c r="E691" s="289">
        <f t="shared" si="129"/>
        <v>0</v>
      </c>
      <c r="F691" s="43"/>
      <c r="G691" s="43"/>
      <c r="I691" s="43"/>
      <c r="J691" s="43"/>
      <c r="K691" s="139"/>
      <c r="L691" s="139"/>
      <c r="M691" s="415">
        <f t="shared" si="130"/>
        <v>652.80000000000007</v>
      </c>
      <c r="N691" s="415">
        <f t="shared" si="131"/>
        <v>326.40000000000003</v>
      </c>
      <c r="O691" s="416">
        <v>1.65</v>
      </c>
      <c r="P691" s="426">
        <f>((451+($E$9*6))*0.8*0.8/0.9)/1.65</f>
        <v>197.81818181818184</v>
      </c>
      <c r="Q691" s="139"/>
      <c r="R691" s="43"/>
      <c r="S691" s="43"/>
      <c r="T691" s="43"/>
      <c r="U691" s="43"/>
      <c r="V691" s="43"/>
      <c r="W691" s="43"/>
      <c r="X691" s="43"/>
      <c r="Y691" s="43"/>
      <c r="Z691" s="43"/>
      <c r="AA691" s="43"/>
      <c r="AB691" s="43"/>
      <c r="AC691" s="43"/>
      <c r="AD691" s="43"/>
    </row>
    <row r="692" spans="1:35" s="73" customFormat="1">
      <c r="A692" s="52">
        <f>IF(B692&gt;0,IF(OR('Estimating Form'!$G$46="Yes",'Estimating Form'!$G$46="Required"),1,0),0)</f>
        <v>0</v>
      </c>
      <c r="B692" s="69">
        <f>SUM($A$660:$A$661)</f>
        <v>0</v>
      </c>
      <c r="C692" s="35" t="s">
        <v>506</v>
      </c>
      <c r="D692" s="43"/>
      <c r="E692" s="289">
        <f t="shared" si="129"/>
        <v>0</v>
      </c>
      <c r="F692" s="43"/>
      <c r="G692" s="43"/>
      <c r="I692" s="43"/>
      <c r="J692" s="43"/>
      <c r="K692" s="139"/>
      <c r="L692" s="139"/>
      <c r="M692" s="415">
        <f t="shared" si="130"/>
        <v>509.62962962962968</v>
      </c>
      <c r="N692" s="415">
        <f t="shared" si="131"/>
        <v>254.81481481481484</v>
      </c>
      <c r="O692" s="416">
        <v>1.65</v>
      </c>
      <c r="P692" s="426">
        <f>((329+($E$9*22))*0.8*0.8/0.9)/1.65</f>
        <v>154.43322109988779</v>
      </c>
      <c r="Q692" s="139"/>
      <c r="R692" s="43"/>
      <c r="S692" s="43"/>
      <c r="T692" s="43"/>
      <c r="U692" s="43"/>
      <c r="V692" s="43"/>
      <c r="W692" s="43"/>
      <c r="X692" s="43"/>
      <c r="Y692" s="43"/>
      <c r="Z692" s="43"/>
      <c r="AA692" s="43"/>
      <c r="AB692" s="43"/>
      <c r="AC692" s="43"/>
      <c r="AD692" s="43"/>
    </row>
    <row r="693" spans="1:35" s="73" customFormat="1">
      <c r="A693" s="52">
        <f>IF(B693&gt;0,IF(OR('Estimating Form'!$G$46="Yes",'Estimating Form'!$G$46="Required"),1,0),0)</f>
        <v>0</v>
      </c>
      <c r="B693" s="69">
        <f>$A$664</f>
        <v>0</v>
      </c>
      <c r="C693" s="35" t="s">
        <v>505</v>
      </c>
      <c r="D693" s="43"/>
      <c r="E693" s="289">
        <f t="shared" ref="E693:E694" si="132">IF(ISBLANK(A693),"",(A693*M693*(1-$H$3)))</f>
        <v>0</v>
      </c>
      <c r="F693" s="43"/>
      <c r="G693" s="43"/>
      <c r="I693" s="43"/>
      <c r="J693" s="43"/>
      <c r="K693" s="139"/>
      <c r="L693" s="139"/>
      <c r="M693" s="415">
        <f t="shared" ref="M693:M694" si="133">N693*2</f>
        <v>449.42222222222222</v>
      </c>
      <c r="N693" s="415">
        <f t="shared" ref="N693:N694" si="134">P693*O693</f>
        <v>224.71111111111111</v>
      </c>
      <c r="O693" s="416">
        <v>1.65</v>
      </c>
      <c r="P693" s="426">
        <f>((276+($E$9*30))*0.8*0.8/0.9)/1.65</f>
        <v>136.18855218855219</v>
      </c>
      <c r="Q693" s="139"/>
      <c r="R693" s="43"/>
      <c r="S693" s="43"/>
      <c r="T693" s="43"/>
      <c r="U693" s="43"/>
      <c r="V693" s="43"/>
      <c r="W693" s="43"/>
      <c r="X693" s="43"/>
      <c r="Y693" s="43"/>
      <c r="Z693" s="43"/>
      <c r="AA693" s="43"/>
      <c r="AB693" s="43"/>
      <c r="AC693" s="43"/>
      <c r="AD693" s="43"/>
    </row>
    <row r="694" spans="1:35" s="73" customFormat="1">
      <c r="A694" s="52">
        <f>IF(B694&gt;0,IF(OR('Estimating Form'!$G$46="Yes",'Estimating Form'!$G$46="Required"),1,0),0)</f>
        <v>0</v>
      </c>
      <c r="B694" s="69">
        <f>$A$667</f>
        <v>0</v>
      </c>
      <c r="C694" s="35" t="s">
        <v>504</v>
      </c>
      <c r="D694" s="43"/>
      <c r="E694" s="289">
        <f t="shared" si="132"/>
        <v>0</v>
      </c>
      <c r="F694" s="43"/>
      <c r="G694" s="43"/>
      <c r="I694" s="43"/>
      <c r="J694" s="43"/>
      <c r="K694" s="139"/>
      <c r="L694" s="139"/>
      <c r="M694" s="415">
        <f t="shared" si="133"/>
        <v>449.42222222222222</v>
      </c>
      <c r="N694" s="415">
        <f t="shared" si="134"/>
        <v>224.71111111111111</v>
      </c>
      <c r="O694" s="416">
        <v>1.65</v>
      </c>
      <c r="P694" s="426">
        <f>((276+($E$9*30))*0.8*0.8/0.9)/1.65</f>
        <v>136.18855218855219</v>
      </c>
      <c r="Q694" s="139"/>
      <c r="R694" s="43"/>
      <c r="S694" s="43"/>
      <c r="T694" s="43"/>
      <c r="U694" s="43"/>
      <c r="V694" s="43"/>
      <c r="W694" s="43"/>
      <c r="X694" s="43"/>
      <c r="Y694" s="43"/>
      <c r="Z694" s="43"/>
      <c r="AA694" s="43"/>
      <c r="AB694" s="43"/>
      <c r="AC694" s="43"/>
      <c r="AD694" s="43"/>
    </row>
    <row r="695" spans="1:35" s="73" customFormat="1" hidden="1">
      <c r="C695" s="35"/>
      <c r="J695" s="43"/>
      <c r="K695" s="139"/>
      <c r="L695" s="139"/>
      <c r="M695" s="139"/>
      <c r="N695" s="139"/>
      <c r="O695" s="139"/>
      <c r="P695" s="139"/>
      <c r="Q695" s="139"/>
      <c r="R695" s="43"/>
      <c r="S695" s="43"/>
      <c r="T695" s="43"/>
      <c r="U695" s="43"/>
      <c r="V695" s="43"/>
      <c r="W695" s="43"/>
      <c r="X695" s="43"/>
      <c r="Y695" s="43"/>
      <c r="Z695" s="43"/>
      <c r="AA695" s="43"/>
      <c r="AB695" s="43"/>
      <c r="AC695" s="43"/>
      <c r="AD695" s="43"/>
    </row>
    <row r="696" spans="1:35" s="73" customFormat="1" hidden="1">
      <c r="A696" s="43"/>
      <c r="B696" s="43"/>
      <c r="C696" s="35"/>
      <c r="D696" s="43"/>
      <c r="E696" s="43"/>
      <c r="F696" s="43"/>
      <c r="G696" s="43"/>
      <c r="H696" s="43"/>
      <c r="I696" s="43"/>
      <c r="J696" s="43"/>
      <c r="K696" s="139"/>
      <c r="L696" s="139"/>
      <c r="M696" s="139"/>
      <c r="N696" s="139"/>
      <c r="O696" s="139"/>
      <c r="P696" s="139"/>
      <c r="Q696" s="139"/>
      <c r="R696" s="43"/>
      <c r="S696" s="43"/>
      <c r="T696" s="43"/>
      <c r="U696" s="43"/>
      <c r="V696" s="43"/>
      <c r="W696" s="43"/>
      <c r="X696" s="43"/>
      <c r="Y696" s="43"/>
      <c r="Z696" s="43"/>
      <c r="AA696" s="43"/>
      <c r="AB696" s="43"/>
      <c r="AC696" s="43"/>
      <c r="AD696" s="43"/>
    </row>
    <row r="697" spans="1:35" s="73" customFormat="1" hidden="1">
      <c r="A697" s="43"/>
      <c r="B697" s="43"/>
      <c r="C697" s="35"/>
      <c r="D697" s="43"/>
      <c r="E697" s="43"/>
      <c r="F697" s="43"/>
      <c r="G697" s="43"/>
      <c r="H697" s="43"/>
      <c r="I697" s="43"/>
      <c r="J697" s="43"/>
      <c r="K697" s="139"/>
      <c r="L697" s="139"/>
      <c r="M697" s="139"/>
      <c r="N697" s="139"/>
      <c r="O697" s="139"/>
      <c r="P697" s="139"/>
      <c r="Q697" s="139"/>
      <c r="R697" s="43"/>
      <c r="S697" s="43"/>
      <c r="T697" s="43"/>
      <c r="U697" s="43"/>
      <c r="V697" s="43"/>
      <c r="W697" s="43"/>
      <c r="X697" s="43"/>
      <c r="Y697" s="43"/>
      <c r="Z697" s="43"/>
      <c r="AA697" s="43"/>
      <c r="AB697" s="43"/>
      <c r="AC697" s="43"/>
      <c r="AD697" s="43"/>
    </row>
    <row r="698" spans="1:35" s="73" customFormat="1" hidden="1">
      <c r="A698" s="43"/>
      <c r="B698" s="43"/>
      <c r="C698" s="35"/>
      <c r="D698" s="43"/>
      <c r="E698" s="43"/>
      <c r="F698" s="43"/>
      <c r="G698" s="43"/>
      <c r="H698" s="43"/>
      <c r="I698" s="43"/>
      <c r="J698" s="43"/>
      <c r="K698" s="139"/>
      <c r="L698" s="139"/>
      <c r="M698" s="139"/>
      <c r="N698" s="139"/>
      <c r="O698" s="139"/>
      <c r="P698" s="139"/>
      <c r="Q698" s="139"/>
      <c r="R698" s="43"/>
      <c r="S698" s="43"/>
      <c r="T698" s="43"/>
      <c r="U698" s="43"/>
      <c r="V698" s="43"/>
      <c r="W698" s="43"/>
      <c r="X698" s="43"/>
      <c r="Y698" s="43"/>
      <c r="Z698" s="43"/>
      <c r="AA698" s="43"/>
      <c r="AB698" s="43"/>
      <c r="AC698" s="43"/>
      <c r="AD698" s="43"/>
    </row>
    <row r="699" spans="1:35" s="73" customFormat="1" hidden="1">
      <c r="A699" s="43"/>
      <c r="B699" s="43"/>
      <c r="C699" s="35"/>
      <c r="D699" s="43"/>
      <c r="E699" s="43"/>
      <c r="F699" s="43"/>
      <c r="G699" s="43"/>
      <c r="H699" s="43"/>
      <c r="I699" s="43"/>
      <c r="J699" s="43"/>
      <c r="K699" s="139"/>
      <c r="L699" s="139"/>
      <c r="M699" s="139"/>
      <c r="N699" s="139"/>
      <c r="O699" s="139"/>
      <c r="P699" s="139"/>
      <c r="Q699" s="139"/>
      <c r="R699" s="43"/>
      <c r="S699" s="43"/>
      <c r="T699" s="43"/>
      <c r="U699" s="43"/>
      <c r="V699" s="43"/>
      <c r="W699" s="43"/>
      <c r="X699" s="43"/>
      <c r="Y699" s="43"/>
      <c r="Z699" s="43"/>
      <c r="AA699" s="43"/>
      <c r="AB699" s="43"/>
      <c r="AC699" s="43"/>
      <c r="AD699" s="43"/>
    </row>
    <row r="700" spans="1:35" s="73" customFormat="1" hidden="1">
      <c r="A700" s="43"/>
      <c r="B700" s="43"/>
      <c r="C700" s="35"/>
      <c r="D700" s="43"/>
      <c r="E700" s="43"/>
      <c r="F700" s="43"/>
      <c r="G700" s="43"/>
      <c r="H700" s="43"/>
      <c r="I700" s="43"/>
      <c r="J700" s="43"/>
      <c r="K700" s="139"/>
      <c r="L700" s="139"/>
      <c r="M700" s="139"/>
      <c r="N700" s="139"/>
      <c r="O700" s="139"/>
      <c r="P700" s="139"/>
      <c r="Q700" s="139"/>
      <c r="R700" s="43"/>
      <c r="S700" s="43"/>
      <c r="T700" s="43"/>
      <c r="U700" s="43"/>
      <c r="V700" s="43"/>
      <c r="W700" s="43"/>
      <c r="X700" s="43"/>
      <c r="Y700" s="43"/>
      <c r="Z700" s="43"/>
      <c r="AA700" s="43"/>
      <c r="AB700" s="43"/>
      <c r="AC700" s="43"/>
      <c r="AD700" s="43"/>
    </row>
    <row r="701" spans="1:35" s="73" customFormat="1" hidden="1">
      <c r="A701" s="43"/>
      <c r="B701" s="43"/>
      <c r="C701" s="35"/>
      <c r="D701" s="43"/>
      <c r="E701" s="43"/>
      <c r="F701" s="43"/>
      <c r="G701" s="43"/>
      <c r="H701" s="43"/>
      <c r="I701" s="43"/>
      <c r="J701" s="43"/>
      <c r="K701" s="139"/>
      <c r="L701" s="139"/>
      <c r="M701" s="139"/>
      <c r="N701" s="139"/>
      <c r="O701" s="139"/>
      <c r="P701" s="139"/>
      <c r="Q701" s="139"/>
      <c r="R701" s="43"/>
      <c r="S701" s="43"/>
      <c r="T701" s="43"/>
      <c r="U701" s="43"/>
      <c r="V701" s="43"/>
      <c r="W701" s="43"/>
      <c r="X701" s="43"/>
      <c r="Y701" s="43"/>
      <c r="Z701" s="43"/>
      <c r="AA701" s="43"/>
      <c r="AB701" s="43"/>
      <c r="AC701" s="43"/>
      <c r="AD701" s="43"/>
    </row>
    <row r="702" spans="1:35" s="73" customFormat="1" hidden="1">
      <c r="A702" s="43"/>
      <c r="B702" s="43"/>
      <c r="C702" s="35"/>
      <c r="D702" s="43"/>
      <c r="E702" s="43"/>
      <c r="F702" s="43"/>
      <c r="G702" s="43"/>
      <c r="H702" s="43"/>
      <c r="I702" s="43"/>
      <c r="J702" s="43"/>
      <c r="K702" s="139"/>
      <c r="L702" s="139"/>
      <c r="M702" s="139"/>
      <c r="N702" s="139"/>
      <c r="O702" s="139"/>
      <c r="P702" s="139"/>
      <c r="Q702" s="139"/>
      <c r="R702" s="43"/>
      <c r="S702" s="43"/>
      <c r="T702" s="43"/>
      <c r="U702" s="43"/>
      <c r="V702" s="43"/>
      <c r="W702" s="43"/>
      <c r="X702" s="43"/>
      <c r="Y702" s="43"/>
      <c r="Z702" s="43"/>
      <c r="AA702" s="43"/>
      <c r="AB702" s="43"/>
      <c r="AC702" s="43"/>
      <c r="AD702" s="43"/>
    </row>
    <row r="703" spans="1:35" s="73" customFormat="1" hidden="1">
      <c r="A703" s="43"/>
      <c r="B703" s="43"/>
      <c r="C703" s="35"/>
      <c r="D703" s="43"/>
      <c r="E703" s="43"/>
      <c r="F703" s="43"/>
      <c r="G703" s="43"/>
      <c r="H703" s="43"/>
      <c r="I703" s="43"/>
      <c r="J703" s="43"/>
      <c r="K703" s="139"/>
      <c r="L703" s="139"/>
      <c r="M703" s="139"/>
      <c r="N703" s="139"/>
      <c r="O703" s="139"/>
      <c r="P703" s="139"/>
      <c r="Q703" s="139"/>
      <c r="R703" s="43"/>
      <c r="S703" s="43"/>
      <c r="T703" s="43"/>
      <c r="U703" s="43"/>
      <c r="V703" s="43"/>
      <c r="W703" s="43"/>
      <c r="X703" s="43"/>
      <c r="Y703" s="43"/>
      <c r="Z703" s="43"/>
      <c r="AA703" s="43"/>
      <c r="AB703" s="43"/>
      <c r="AC703" s="43"/>
      <c r="AD703" s="43"/>
    </row>
    <row r="704" spans="1:35" s="73" customFormat="1" hidden="1">
      <c r="A704" s="43"/>
      <c r="B704" s="43"/>
      <c r="C704" s="35"/>
      <c r="D704" s="43"/>
      <c r="E704" s="43"/>
      <c r="F704" s="43"/>
      <c r="G704" s="43"/>
      <c r="H704" s="43"/>
      <c r="I704" s="43"/>
      <c r="J704" s="43"/>
      <c r="K704" s="139"/>
      <c r="L704" s="139"/>
      <c r="M704" s="139"/>
      <c r="N704" s="139"/>
      <c r="O704" s="139"/>
      <c r="P704" s="139"/>
      <c r="Q704" s="139"/>
      <c r="R704" s="43"/>
      <c r="S704" s="43"/>
      <c r="T704" s="43"/>
      <c r="U704" s="43"/>
      <c r="V704" s="43"/>
      <c r="W704" s="43"/>
      <c r="X704" s="43"/>
      <c r="Y704" s="43"/>
      <c r="Z704" s="43"/>
      <c r="AA704" s="43"/>
      <c r="AB704" s="43"/>
      <c r="AC704" s="43"/>
      <c r="AD704" s="43"/>
    </row>
    <row r="705" spans="3:35" s="43" customFormat="1" hidden="1">
      <c r="C705" s="35"/>
      <c r="K705" s="139"/>
      <c r="L705" s="139"/>
      <c r="M705" s="139"/>
      <c r="N705" s="139"/>
      <c r="O705" s="139"/>
      <c r="P705" s="139"/>
      <c r="Q705" s="139"/>
      <c r="AC705" s="73"/>
      <c r="AD705" s="73"/>
      <c r="AE705" s="73"/>
      <c r="AF705" s="73"/>
      <c r="AG705" s="73"/>
      <c r="AH705" s="73"/>
      <c r="AI705" s="73"/>
    </row>
    <row r="706" spans="3:35" s="43" customFormat="1" hidden="1">
      <c r="C706" s="35"/>
      <c r="K706" s="139"/>
      <c r="L706" s="139"/>
      <c r="M706" s="139"/>
      <c r="N706" s="139"/>
      <c r="O706" s="139"/>
      <c r="P706" s="139"/>
      <c r="Q706" s="139"/>
      <c r="AC706" s="73"/>
      <c r="AD706" s="73"/>
      <c r="AE706" s="73"/>
      <c r="AF706" s="73"/>
      <c r="AG706" s="73"/>
      <c r="AH706" s="73"/>
      <c r="AI706" s="73"/>
    </row>
    <row r="707" spans="3:35" s="43" customFormat="1" hidden="1">
      <c r="C707" s="35"/>
      <c r="K707" s="139"/>
      <c r="L707" s="139"/>
      <c r="M707" s="139"/>
      <c r="N707" s="139"/>
      <c r="O707" s="139"/>
      <c r="P707" s="139"/>
      <c r="Q707" s="139"/>
      <c r="AC707" s="73"/>
      <c r="AD707" s="73"/>
      <c r="AE707" s="73"/>
      <c r="AF707" s="73"/>
      <c r="AG707" s="73"/>
      <c r="AH707" s="73"/>
      <c r="AI707" s="73"/>
    </row>
    <row r="708" spans="3:35" s="43" customFormat="1" hidden="1">
      <c r="C708" s="35"/>
      <c r="K708" s="139"/>
      <c r="L708" s="139"/>
      <c r="M708" s="139"/>
      <c r="N708" s="139"/>
      <c r="O708" s="139"/>
      <c r="P708" s="139"/>
      <c r="Q708" s="139"/>
      <c r="AC708" s="73"/>
      <c r="AD708" s="73"/>
      <c r="AE708" s="73"/>
      <c r="AF708" s="73"/>
      <c r="AG708" s="73"/>
      <c r="AH708" s="73"/>
      <c r="AI708" s="73"/>
    </row>
    <row r="709" spans="3:35" s="43" customFormat="1" hidden="1">
      <c r="C709" s="35"/>
      <c r="K709" s="139"/>
      <c r="L709" s="139"/>
      <c r="M709" s="139"/>
      <c r="N709" s="139"/>
      <c r="O709" s="139"/>
      <c r="P709" s="139"/>
      <c r="Q709" s="139"/>
      <c r="AC709" s="73"/>
      <c r="AD709" s="73"/>
    </row>
    <row r="710" spans="3:35" s="43" customFormat="1" hidden="1">
      <c r="C710" s="35"/>
      <c r="K710" s="139"/>
      <c r="L710" s="139"/>
      <c r="M710" s="139"/>
      <c r="N710" s="139"/>
      <c r="O710" s="139"/>
      <c r="P710" s="139"/>
      <c r="Q710" s="139"/>
      <c r="AC710" s="73"/>
      <c r="AD710" s="73"/>
    </row>
    <row r="711" spans="3:35" s="43" customFormat="1" hidden="1">
      <c r="C711" s="35"/>
      <c r="K711" s="139"/>
      <c r="L711" s="139"/>
      <c r="M711" s="139"/>
      <c r="N711" s="139"/>
      <c r="O711" s="139"/>
      <c r="P711" s="139"/>
      <c r="Q711" s="139"/>
      <c r="AC711" s="73"/>
      <c r="AD711" s="73"/>
    </row>
    <row r="712" spans="3:35" s="43" customFormat="1" hidden="1">
      <c r="C712" s="35"/>
      <c r="K712" s="139"/>
      <c r="L712" s="139"/>
      <c r="M712" s="139"/>
      <c r="N712" s="139"/>
      <c r="O712" s="139"/>
      <c r="P712" s="139"/>
      <c r="Q712" s="139"/>
      <c r="AC712" s="73"/>
      <c r="AD712" s="73"/>
    </row>
    <row r="713" spans="3:35" s="43" customFormat="1" hidden="1">
      <c r="C713" s="35"/>
      <c r="K713" s="139"/>
      <c r="L713" s="139"/>
      <c r="M713" s="139"/>
      <c r="N713" s="139"/>
      <c r="O713" s="139"/>
      <c r="P713" s="139"/>
      <c r="Q713" s="139"/>
      <c r="AC713" s="73"/>
      <c r="AD713" s="73"/>
    </row>
    <row r="714" spans="3:35" s="43" customFormat="1" hidden="1">
      <c r="C714" s="35"/>
      <c r="K714" s="139"/>
      <c r="L714" s="139"/>
      <c r="M714" s="139"/>
      <c r="N714" s="139"/>
      <c r="O714" s="139"/>
      <c r="P714" s="139"/>
      <c r="Q714" s="139"/>
      <c r="AC714" s="73"/>
      <c r="AD714" s="73"/>
    </row>
    <row r="715" spans="3:35" s="43" customFormat="1" hidden="1">
      <c r="C715" s="35"/>
      <c r="K715" s="139"/>
      <c r="L715" s="139"/>
      <c r="M715" s="139"/>
      <c r="N715" s="139"/>
      <c r="O715" s="139"/>
      <c r="P715" s="139"/>
      <c r="Q715" s="139"/>
      <c r="AC715" s="73"/>
      <c r="AD715" s="73"/>
    </row>
    <row r="716" spans="3:35" s="43" customFormat="1" hidden="1">
      <c r="C716" s="35"/>
      <c r="K716" s="139"/>
      <c r="L716" s="139"/>
      <c r="M716" s="139"/>
      <c r="N716" s="139"/>
      <c r="O716" s="139"/>
      <c r="P716" s="139"/>
      <c r="Q716" s="139"/>
      <c r="AC716" s="73"/>
      <c r="AD716" s="73"/>
    </row>
    <row r="717" spans="3:35" s="43" customFormat="1" hidden="1">
      <c r="C717" s="35"/>
      <c r="K717" s="139"/>
      <c r="L717" s="139"/>
      <c r="M717" s="139"/>
      <c r="N717" s="139"/>
      <c r="O717" s="139"/>
      <c r="P717" s="139"/>
      <c r="Q717" s="139"/>
      <c r="AC717" s="73"/>
      <c r="AD717" s="73"/>
    </row>
    <row r="718" spans="3:35" s="43" customFormat="1" hidden="1">
      <c r="C718" s="35"/>
      <c r="K718" s="139"/>
      <c r="L718" s="139"/>
      <c r="M718" s="139"/>
      <c r="N718" s="139"/>
      <c r="O718" s="139"/>
      <c r="P718" s="139"/>
      <c r="Q718" s="139"/>
      <c r="AC718" s="73"/>
      <c r="AD718" s="73"/>
    </row>
    <row r="719" spans="3:35" s="43" customFormat="1" hidden="1">
      <c r="C719" s="35"/>
      <c r="K719" s="139"/>
      <c r="L719" s="139"/>
      <c r="M719" s="139"/>
      <c r="N719" s="139"/>
      <c r="O719" s="139"/>
      <c r="P719" s="139"/>
      <c r="Q719" s="139"/>
      <c r="AC719" s="73"/>
      <c r="AD719" s="73"/>
    </row>
    <row r="720" spans="3:35" s="43" customFormat="1" hidden="1">
      <c r="C720" s="35"/>
      <c r="K720" s="139"/>
      <c r="L720" s="139"/>
      <c r="M720" s="139"/>
      <c r="N720" s="139"/>
      <c r="O720" s="139"/>
      <c r="P720" s="139"/>
      <c r="Q720" s="139"/>
      <c r="AC720" s="73"/>
      <c r="AD720" s="73"/>
    </row>
    <row r="721" spans="1:35" s="43" customFormat="1" hidden="1">
      <c r="C721" s="35"/>
      <c r="K721" s="139"/>
      <c r="L721" s="139"/>
      <c r="M721" s="139"/>
      <c r="N721" s="139"/>
      <c r="O721" s="139"/>
      <c r="P721" s="139"/>
      <c r="Q721" s="139"/>
      <c r="AC721" s="73"/>
      <c r="AD721" s="73"/>
    </row>
    <row r="722" spans="1:35" s="43" customFormat="1" hidden="1">
      <c r="C722" s="35"/>
      <c r="K722" s="139"/>
      <c r="L722" s="139"/>
      <c r="M722" s="139"/>
      <c r="N722" s="139"/>
      <c r="O722" s="139"/>
      <c r="P722" s="139"/>
      <c r="Q722" s="139"/>
      <c r="AC722" s="73"/>
      <c r="AD722" s="73"/>
    </row>
    <row r="723" spans="1:35" s="43" customFormat="1" hidden="1">
      <c r="C723" s="35"/>
      <c r="K723" s="139"/>
      <c r="L723" s="139"/>
      <c r="M723" s="139"/>
      <c r="N723" s="139"/>
      <c r="O723" s="139"/>
      <c r="P723" s="139"/>
      <c r="Q723" s="139"/>
    </row>
    <row r="724" spans="1:35" hidden="1">
      <c r="A724" s="43"/>
      <c r="B724" s="43"/>
      <c r="C724" s="35"/>
      <c r="D724" s="43"/>
      <c r="E724" s="43"/>
      <c r="F724" s="43"/>
      <c r="G724" s="43"/>
      <c r="H724" s="43"/>
      <c r="I724" s="43"/>
      <c r="J724" s="43"/>
      <c r="K724" s="139"/>
      <c r="L724" s="139"/>
      <c r="M724" s="139"/>
      <c r="N724" s="139"/>
      <c r="O724" s="139"/>
      <c r="P724" s="139"/>
      <c r="Q724" s="285"/>
      <c r="R724" s="43"/>
      <c r="S724" s="43"/>
      <c r="T724" s="43"/>
      <c r="U724" s="43"/>
      <c r="V724" s="43"/>
      <c r="W724" s="43"/>
      <c r="X724" s="43"/>
      <c r="Y724" s="43"/>
      <c r="Z724" s="43"/>
      <c r="AA724" s="43"/>
      <c r="AB724" s="43"/>
      <c r="AC724" s="43"/>
      <c r="AD724" s="43"/>
      <c r="AE724" s="43"/>
      <c r="AF724" s="43"/>
      <c r="AG724" s="43"/>
      <c r="AH724" s="43"/>
      <c r="AI724" s="43"/>
    </row>
    <row r="725" spans="1:35" hidden="1">
      <c r="A725" s="43"/>
      <c r="B725" s="43"/>
      <c r="C725" s="35"/>
      <c r="D725" s="43"/>
      <c r="E725" s="43"/>
      <c r="F725" s="43"/>
      <c r="G725" s="43"/>
      <c r="H725" s="43"/>
      <c r="I725" s="43"/>
      <c r="J725" s="43"/>
      <c r="K725" s="285"/>
      <c r="L725" s="285"/>
      <c r="M725" s="285"/>
      <c r="N725" s="285"/>
      <c r="O725" s="285"/>
      <c r="P725" s="285"/>
      <c r="Q725" s="139"/>
      <c r="R725" s="43"/>
      <c r="S725" s="43"/>
      <c r="T725" s="43"/>
      <c r="U725" s="43"/>
      <c r="V725" s="43"/>
      <c r="W725" s="43"/>
      <c r="X725" s="43"/>
      <c r="Y725" s="43"/>
      <c r="Z725" s="43"/>
      <c r="AA725" s="43"/>
      <c r="AB725" s="43"/>
      <c r="AC725" s="43"/>
      <c r="AD725" s="43"/>
      <c r="AE725" s="43"/>
      <c r="AF725" s="43"/>
      <c r="AG725" s="43"/>
      <c r="AH725" s="43"/>
      <c r="AI725" s="43"/>
    </row>
    <row r="726" spans="1:35" hidden="1">
      <c r="A726" s="43"/>
      <c r="B726" s="43"/>
      <c r="C726" s="35"/>
      <c r="D726" s="43"/>
      <c r="E726" s="43"/>
      <c r="F726" s="43"/>
      <c r="G726" s="43"/>
      <c r="H726" s="43"/>
      <c r="I726" s="43"/>
      <c r="J726" s="43"/>
      <c r="K726" s="139"/>
      <c r="L726" s="139"/>
      <c r="M726" s="139"/>
      <c r="N726" s="139"/>
      <c r="O726" s="139"/>
      <c r="P726" s="139"/>
      <c r="Q726" s="139"/>
      <c r="R726" s="43"/>
      <c r="S726" s="43"/>
      <c r="T726" s="43"/>
      <c r="U726" s="43"/>
      <c r="V726" s="43"/>
      <c r="W726" s="43"/>
      <c r="X726" s="43"/>
      <c r="Y726" s="43"/>
      <c r="Z726" s="43"/>
      <c r="AA726" s="43"/>
      <c r="AB726" s="43"/>
      <c r="AC726" s="43"/>
      <c r="AD726" s="43"/>
      <c r="AE726" s="43"/>
      <c r="AF726" s="43"/>
      <c r="AG726" s="43"/>
      <c r="AH726" s="43"/>
      <c r="AI726" s="43"/>
    </row>
    <row r="727" spans="1:35" hidden="1">
      <c r="A727" s="43"/>
      <c r="B727" s="43"/>
      <c r="C727" s="35"/>
      <c r="D727" s="43"/>
      <c r="E727" s="43"/>
      <c r="F727" s="43"/>
      <c r="G727" s="43"/>
      <c r="H727" s="43"/>
      <c r="I727" s="43"/>
      <c r="J727" s="43"/>
      <c r="K727" s="139"/>
      <c r="L727" s="139"/>
      <c r="M727" s="139"/>
      <c r="N727" s="139"/>
      <c r="O727" s="139"/>
      <c r="P727" s="139"/>
      <c r="Q727" s="139"/>
      <c r="R727" s="43"/>
      <c r="S727" s="43"/>
      <c r="T727" s="43"/>
      <c r="U727" s="43"/>
      <c r="V727" s="43"/>
      <c r="W727" s="43"/>
      <c r="X727" s="43"/>
      <c r="Y727" s="43"/>
      <c r="Z727" s="43"/>
      <c r="AA727" s="43"/>
      <c r="AB727" s="43"/>
      <c r="AC727" s="43"/>
      <c r="AD727" s="43"/>
      <c r="AE727" s="43"/>
      <c r="AF727" s="43"/>
      <c r="AG727" s="43"/>
      <c r="AH727" s="43"/>
      <c r="AI727" s="43"/>
    </row>
    <row r="728" spans="1:35" hidden="1">
      <c r="A728" s="43"/>
      <c r="B728" s="43"/>
      <c r="C728" s="35"/>
      <c r="D728" s="43"/>
      <c r="E728" s="43"/>
      <c r="F728" s="43"/>
      <c r="G728" s="43"/>
      <c r="H728" s="43"/>
      <c r="I728" s="43"/>
      <c r="J728" s="43"/>
      <c r="K728" s="139"/>
      <c r="L728" s="139"/>
      <c r="M728" s="139"/>
      <c r="N728" s="139"/>
      <c r="O728" s="139"/>
      <c r="P728" s="139"/>
      <c r="Q728" s="139"/>
      <c r="R728" s="43"/>
      <c r="S728" s="43"/>
      <c r="T728" s="43"/>
      <c r="U728" s="43"/>
      <c r="V728" s="43"/>
      <c r="W728" s="43"/>
      <c r="X728" s="43"/>
      <c r="Y728" s="43"/>
      <c r="Z728" s="43"/>
      <c r="AA728" s="43"/>
      <c r="AB728" s="43"/>
      <c r="AC728" s="43"/>
      <c r="AD728" s="43"/>
    </row>
    <row r="729" spans="1:35" hidden="1">
      <c r="A729" s="43"/>
      <c r="B729" s="43"/>
      <c r="C729" s="35"/>
      <c r="D729" s="43"/>
      <c r="E729" s="43"/>
      <c r="F729" s="43"/>
      <c r="G729" s="43"/>
      <c r="H729" s="43"/>
      <c r="I729" s="43"/>
      <c r="J729" s="43"/>
      <c r="K729" s="139"/>
      <c r="L729" s="139"/>
      <c r="M729" s="139"/>
      <c r="N729" s="139"/>
      <c r="O729" s="139"/>
      <c r="P729" s="139"/>
      <c r="Q729" s="139"/>
      <c r="R729" s="43"/>
      <c r="S729" s="43"/>
      <c r="T729" s="43"/>
      <c r="U729" s="43"/>
      <c r="V729" s="43"/>
      <c r="W729" s="43"/>
      <c r="X729" s="43"/>
      <c r="Y729" s="43"/>
      <c r="Z729" s="43"/>
      <c r="AA729" s="43"/>
      <c r="AB729" s="43"/>
      <c r="AC729" s="43"/>
      <c r="AD729" s="43"/>
    </row>
    <row r="730" spans="1:35" hidden="1">
      <c r="A730" s="43"/>
      <c r="B730" s="43"/>
      <c r="C730" s="35"/>
      <c r="D730" s="43"/>
      <c r="E730" s="43"/>
      <c r="F730" s="43"/>
      <c r="G730" s="43"/>
      <c r="H730" s="43"/>
      <c r="I730" s="43"/>
      <c r="J730" s="43"/>
      <c r="K730" s="139"/>
      <c r="L730" s="139"/>
      <c r="M730" s="139"/>
      <c r="N730" s="139"/>
      <c r="O730" s="139"/>
      <c r="P730" s="139"/>
      <c r="Q730" s="139"/>
      <c r="R730" s="43"/>
      <c r="S730" s="43"/>
      <c r="T730" s="43"/>
      <c r="U730" s="43"/>
      <c r="V730" s="43"/>
      <c r="W730" s="43"/>
      <c r="X730" s="43"/>
      <c r="Y730" s="43"/>
      <c r="Z730" s="43"/>
      <c r="AA730" s="43"/>
      <c r="AB730" s="43"/>
      <c r="AC730" s="43"/>
      <c r="AD730" s="43"/>
    </row>
    <row r="731" spans="1:35" hidden="1">
      <c r="A731" s="43"/>
      <c r="B731" s="43"/>
      <c r="C731" s="35"/>
      <c r="D731" s="43"/>
      <c r="E731" s="43"/>
      <c r="F731" s="43"/>
      <c r="G731" s="43"/>
      <c r="H731" s="43"/>
      <c r="I731" s="43"/>
      <c r="J731" s="43"/>
      <c r="K731" s="139"/>
      <c r="L731" s="139"/>
      <c r="M731" s="139"/>
      <c r="N731" s="139"/>
      <c r="O731" s="139"/>
      <c r="P731" s="139"/>
      <c r="Q731" s="139"/>
      <c r="R731" s="43"/>
      <c r="S731" s="43"/>
      <c r="T731" s="43"/>
      <c r="U731" s="43"/>
      <c r="V731" s="43"/>
      <c r="W731" s="43"/>
      <c r="X731" s="43"/>
      <c r="Y731" s="43"/>
      <c r="Z731" s="43"/>
      <c r="AA731" s="43"/>
      <c r="AB731" s="43"/>
      <c r="AC731" s="43"/>
      <c r="AD731" s="43"/>
    </row>
    <row r="732" spans="1:35" hidden="1">
      <c r="A732" s="43"/>
      <c r="B732" s="43"/>
      <c r="C732" s="35"/>
      <c r="D732" s="43"/>
      <c r="E732" s="43"/>
      <c r="F732" s="43"/>
      <c r="G732" s="43"/>
      <c r="H732" s="43"/>
      <c r="I732" s="43"/>
      <c r="J732" s="43"/>
      <c r="K732" s="139"/>
      <c r="L732" s="139"/>
      <c r="M732" s="139"/>
      <c r="N732" s="139"/>
      <c r="O732" s="139"/>
      <c r="P732" s="139"/>
      <c r="Q732" s="139"/>
      <c r="S732" s="73"/>
      <c r="T732" s="73"/>
      <c r="U732" s="73"/>
      <c r="V732" s="73"/>
      <c r="W732" s="73"/>
      <c r="X732" s="73"/>
      <c r="Y732" s="73"/>
      <c r="Z732" s="73"/>
      <c r="AA732" s="73"/>
      <c r="AB732" s="73"/>
      <c r="AC732" s="43"/>
      <c r="AD732" s="43"/>
    </row>
    <row r="733" spans="1:35" hidden="1">
      <c r="A733" s="43"/>
      <c r="B733" s="43"/>
      <c r="C733" s="35"/>
      <c r="D733" s="43"/>
      <c r="E733" s="43"/>
      <c r="F733" s="43"/>
      <c r="G733" s="43"/>
      <c r="H733" s="43"/>
      <c r="I733" s="43"/>
      <c r="J733" s="43"/>
      <c r="K733" s="139"/>
      <c r="L733" s="139"/>
      <c r="M733" s="139"/>
      <c r="N733" s="139"/>
      <c r="O733" s="139"/>
      <c r="P733" s="139"/>
      <c r="Q733" s="139"/>
      <c r="S733" s="73"/>
      <c r="T733" s="73"/>
      <c r="U733" s="73"/>
      <c r="V733" s="73"/>
      <c r="W733" s="73"/>
      <c r="X733" s="73"/>
      <c r="Y733" s="73"/>
      <c r="Z733" s="73"/>
      <c r="AA733" s="73"/>
      <c r="AB733" s="73"/>
      <c r="AC733" s="43"/>
      <c r="AD733" s="43"/>
    </row>
    <row r="734" spans="1:35" hidden="1">
      <c r="J734" s="43"/>
      <c r="K734" s="139"/>
      <c r="L734" s="139"/>
      <c r="M734" s="139"/>
      <c r="N734" s="139"/>
      <c r="O734" s="139"/>
      <c r="P734" s="139"/>
      <c r="Q734" s="139"/>
      <c r="S734" s="73"/>
      <c r="T734" s="73"/>
      <c r="U734" s="73"/>
      <c r="V734" s="73"/>
      <c r="W734" s="73"/>
      <c r="X734" s="73"/>
      <c r="Y734" s="73"/>
      <c r="Z734" s="73"/>
      <c r="AA734" s="73"/>
      <c r="AB734" s="73"/>
      <c r="AC734" s="43"/>
      <c r="AD734" s="43"/>
    </row>
    <row r="735" spans="1:35" hidden="1">
      <c r="J735" s="43"/>
      <c r="K735" s="139"/>
      <c r="L735" s="139"/>
      <c r="M735" s="139"/>
      <c r="N735" s="139"/>
      <c r="O735" s="139"/>
      <c r="P735" s="139"/>
      <c r="Q735" s="139"/>
      <c r="S735" s="73"/>
      <c r="T735" s="73"/>
      <c r="U735" s="73"/>
      <c r="V735" s="73"/>
      <c r="W735" s="73"/>
      <c r="X735" s="73"/>
      <c r="Y735" s="73"/>
      <c r="Z735" s="73"/>
      <c r="AA735" s="73"/>
      <c r="AB735" s="73"/>
      <c r="AC735" s="43"/>
      <c r="AD735" s="43"/>
    </row>
    <row r="736" spans="1:35" hidden="1">
      <c r="J736" s="43"/>
      <c r="K736" s="139"/>
      <c r="L736" s="139"/>
      <c r="M736" s="139"/>
      <c r="N736" s="139"/>
      <c r="O736" s="139"/>
      <c r="P736" s="139"/>
      <c r="Q736" s="139"/>
      <c r="S736" s="73"/>
      <c r="T736" s="73"/>
      <c r="U736" s="73"/>
      <c r="V736" s="73"/>
      <c r="W736" s="73"/>
      <c r="X736" s="73"/>
      <c r="Y736" s="73"/>
      <c r="Z736" s="73"/>
      <c r="AA736" s="73"/>
      <c r="AB736" s="73"/>
      <c r="AC736" s="43"/>
      <c r="AD736" s="43"/>
    </row>
    <row r="737" spans="10:30" hidden="1">
      <c r="J737" s="43"/>
      <c r="K737" s="139"/>
      <c r="L737" s="139"/>
      <c r="M737" s="139"/>
      <c r="N737" s="139"/>
      <c r="O737" s="139"/>
      <c r="P737" s="139"/>
      <c r="Q737" s="139"/>
      <c r="S737" s="73"/>
      <c r="T737" s="73"/>
      <c r="U737" s="73"/>
      <c r="V737" s="73"/>
      <c r="W737" s="73"/>
      <c r="X737" s="73"/>
      <c r="Y737" s="73"/>
      <c r="Z737" s="73"/>
      <c r="AA737" s="73"/>
      <c r="AB737" s="73"/>
      <c r="AC737" s="43"/>
      <c r="AD737" s="43"/>
    </row>
    <row r="738" spans="10:30" hidden="1">
      <c r="J738" s="43"/>
      <c r="K738" s="139"/>
      <c r="L738" s="139"/>
      <c r="M738" s="139"/>
      <c r="N738" s="139"/>
      <c r="O738" s="139"/>
      <c r="P738" s="139"/>
      <c r="Q738" s="139"/>
      <c r="S738" s="73"/>
      <c r="T738" s="73"/>
      <c r="U738" s="73"/>
      <c r="V738" s="73"/>
      <c r="W738" s="73"/>
      <c r="X738" s="73"/>
      <c r="Y738" s="73"/>
      <c r="Z738" s="73"/>
      <c r="AA738" s="73"/>
      <c r="AB738" s="73"/>
      <c r="AC738" s="43"/>
      <c r="AD738" s="43"/>
    </row>
    <row r="739" spans="10:30" hidden="1">
      <c r="J739" s="43"/>
      <c r="K739" s="139"/>
      <c r="L739" s="139"/>
      <c r="M739" s="139"/>
      <c r="N739" s="139"/>
      <c r="O739" s="139"/>
      <c r="P739" s="139"/>
      <c r="Q739" s="139"/>
      <c r="S739" s="73"/>
      <c r="T739" s="73"/>
      <c r="U739" s="73"/>
      <c r="V739" s="73"/>
      <c r="W739" s="73"/>
      <c r="X739" s="73"/>
      <c r="Y739" s="73"/>
      <c r="Z739" s="73"/>
      <c r="AA739" s="73"/>
      <c r="AB739" s="73"/>
      <c r="AC739" s="43"/>
      <c r="AD739" s="43"/>
    </row>
    <row r="740" spans="10:30" hidden="1">
      <c r="J740" s="43"/>
      <c r="K740" s="139"/>
      <c r="L740" s="139"/>
      <c r="M740" s="139"/>
      <c r="N740" s="139"/>
      <c r="O740" s="139"/>
      <c r="P740" s="139"/>
      <c r="Q740" s="139"/>
      <c r="S740" s="73"/>
      <c r="T740" s="73"/>
      <c r="U740" s="73"/>
      <c r="V740" s="73"/>
      <c r="W740" s="73"/>
      <c r="X740" s="73"/>
      <c r="Y740" s="73"/>
      <c r="Z740" s="73"/>
      <c r="AA740" s="73"/>
      <c r="AB740" s="73"/>
      <c r="AC740" s="43"/>
      <c r="AD740" s="43"/>
    </row>
    <row r="741" spans="10:30" hidden="1">
      <c r="J741" s="43"/>
      <c r="K741" s="139"/>
      <c r="L741" s="139"/>
      <c r="M741" s="139"/>
      <c r="N741" s="139"/>
      <c r="O741" s="139"/>
      <c r="P741" s="139"/>
      <c r="Q741" s="139"/>
      <c r="S741" s="73"/>
      <c r="T741" s="73"/>
      <c r="U741" s="73"/>
      <c r="V741" s="73"/>
      <c r="W741" s="73"/>
      <c r="X741" s="73"/>
      <c r="Y741" s="73"/>
      <c r="Z741" s="73"/>
      <c r="AA741" s="73"/>
      <c r="AB741" s="73"/>
      <c r="AC741" s="43"/>
      <c r="AD741" s="43"/>
    </row>
    <row r="742" spans="10:30" hidden="1">
      <c r="J742" s="43"/>
      <c r="K742" s="139"/>
      <c r="L742" s="139"/>
      <c r="M742" s="139"/>
      <c r="N742" s="139"/>
      <c r="O742" s="139"/>
      <c r="P742" s="139"/>
      <c r="Q742" s="139"/>
      <c r="S742" s="73"/>
      <c r="T742" s="73"/>
      <c r="U742" s="73"/>
      <c r="V742" s="73"/>
      <c r="W742" s="73"/>
      <c r="X742" s="73"/>
      <c r="Y742" s="73"/>
      <c r="Z742" s="73"/>
      <c r="AA742" s="73"/>
      <c r="AB742" s="73"/>
    </row>
    <row r="743" spans="10:30" hidden="1">
      <c r="J743" s="43"/>
      <c r="K743" s="139"/>
      <c r="L743" s="139"/>
      <c r="M743" s="139"/>
      <c r="N743" s="139"/>
      <c r="O743" s="139"/>
      <c r="P743" s="139"/>
      <c r="Q743" s="139"/>
      <c r="S743" s="73"/>
      <c r="T743" s="73"/>
      <c r="U743" s="73"/>
      <c r="V743" s="73"/>
      <c r="W743" s="73"/>
      <c r="X743" s="73"/>
      <c r="Y743" s="73"/>
      <c r="Z743" s="73"/>
      <c r="AA743" s="73"/>
      <c r="AB743" s="73"/>
    </row>
    <row r="744" spans="10:30" hidden="1">
      <c r="J744" s="43"/>
      <c r="K744" s="139"/>
      <c r="L744" s="139"/>
      <c r="M744" s="139"/>
      <c r="N744" s="139"/>
      <c r="O744" s="139"/>
      <c r="P744" s="139"/>
      <c r="Q744" s="139"/>
      <c r="S744" s="73"/>
      <c r="T744" s="73"/>
      <c r="U744" s="73"/>
      <c r="V744" s="73"/>
      <c r="W744" s="73"/>
      <c r="X744" s="73"/>
      <c r="Y744" s="73"/>
      <c r="Z744" s="73"/>
      <c r="AA744" s="73"/>
      <c r="AB744" s="73"/>
    </row>
    <row r="745" spans="10:30" hidden="1">
      <c r="J745" s="43"/>
      <c r="K745" s="139"/>
      <c r="L745" s="139"/>
      <c r="M745" s="139"/>
      <c r="N745" s="139"/>
      <c r="O745" s="139"/>
      <c r="P745" s="139"/>
      <c r="Q745" s="139"/>
      <c r="S745" s="73"/>
      <c r="T745" s="73"/>
      <c r="U745" s="73"/>
      <c r="V745" s="73"/>
      <c r="W745" s="73"/>
      <c r="X745" s="73"/>
      <c r="Y745" s="73"/>
      <c r="Z745" s="73"/>
      <c r="AA745" s="73"/>
      <c r="AB745" s="73"/>
    </row>
    <row r="746" spans="10:30" hidden="1">
      <c r="J746" s="43"/>
      <c r="K746" s="139"/>
      <c r="L746" s="139"/>
      <c r="M746" s="139"/>
      <c r="N746" s="139"/>
      <c r="O746" s="139"/>
      <c r="P746" s="139"/>
      <c r="Q746" s="139"/>
      <c r="S746" s="73"/>
      <c r="T746" s="73"/>
      <c r="U746" s="73"/>
      <c r="V746" s="73"/>
      <c r="W746" s="73"/>
      <c r="X746" s="73"/>
      <c r="Y746" s="73"/>
      <c r="Z746" s="73"/>
      <c r="AA746" s="73"/>
      <c r="AB746" s="73"/>
    </row>
    <row r="747" spans="10:30" hidden="1">
      <c r="J747" s="43"/>
      <c r="K747" s="139"/>
      <c r="L747" s="139"/>
      <c r="M747" s="139"/>
      <c r="N747" s="139"/>
      <c r="O747" s="139"/>
      <c r="P747" s="139"/>
      <c r="Q747" s="139"/>
      <c r="S747" s="73"/>
      <c r="T747" s="73"/>
      <c r="U747" s="73"/>
      <c r="V747" s="73"/>
      <c r="W747" s="73"/>
      <c r="X747" s="73"/>
      <c r="Y747" s="73"/>
      <c r="Z747" s="73"/>
      <c r="AA747" s="73"/>
      <c r="AB747" s="73"/>
    </row>
    <row r="748" spans="10:30" hidden="1">
      <c r="J748" s="43"/>
      <c r="K748" s="139"/>
      <c r="L748" s="139"/>
      <c r="M748" s="139"/>
      <c r="N748" s="139"/>
      <c r="O748" s="139"/>
      <c r="P748" s="139"/>
      <c r="Q748" s="139"/>
      <c r="S748" s="73"/>
      <c r="T748" s="73"/>
      <c r="U748" s="73"/>
      <c r="V748" s="73"/>
      <c r="W748" s="73"/>
      <c r="X748" s="73"/>
      <c r="Y748" s="73"/>
      <c r="Z748" s="73"/>
      <c r="AA748" s="73"/>
      <c r="AB748" s="73"/>
    </row>
    <row r="749" spans="10:30" hidden="1">
      <c r="J749" s="43"/>
      <c r="K749" s="139"/>
      <c r="L749" s="139"/>
      <c r="M749" s="139"/>
      <c r="N749" s="139"/>
      <c r="O749" s="139"/>
      <c r="P749" s="139"/>
      <c r="Q749" s="139"/>
      <c r="S749" s="73"/>
      <c r="T749" s="73"/>
      <c r="U749" s="73"/>
      <c r="V749" s="73"/>
      <c r="W749" s="73"/>
      <c r="X749" s="73"/>
      <c r="Y749" s="73"/>
      <c r="Z749" s="73"/>
      <c r="AA749" s="73"/>
      <c r="AB749" s="73"/>
    </row>
    <row r="750" spans="10:30" hidden="1">
      <c r="J750" s="43"/>
      <c r="K750" s="139"/>
      <c r="L750" s="139"/>
      <c r="M750" s="139"/>
      <c r="N750" s="139"/>
      <c r="O750" s="139"/>
      <c r="P750" s="139"/>
      <c r="Q750" s="139"/>
      <c r="S750" s="43"/>
      <c r="T750" s="43"/>
      <c r="U750" s="43"/>
      <c r="V750" s="43"/>
      <c r="W750" s="43"/>
      <c r="X750" s="43"/>
      <c r="Y750" s="43"/>
      <c r="Z750" s="43"/>
      <c r="AA750" s="43"/>
      <c r="AB750" s="43"/>
    </row>
    <row r="751" spans="10:30" hidden="1">
      <c r="J751" s="43"/>
      <c r="K751" s="139"/>
      <c r="L751" s="139"/>
      <c r="M751" s="139"/>
      <c r="N751" s="139"/>
      <c r="O751" s="139"/>
      <c r="P751" s="139"/>
      <c r="Q751" s="139"/>
      <c r="R751" s="73"/>
      <c r="S751" s="43"/>
      <c r="T751" s="43"/>
      <c r="U751" s="43"/>
      <c r="V751" s="43"/>
      <c r="W751" s="43"/>
      <c r="X751" s="43"/>
      <c r="Y751" s="43"/>
      <c r="Z751" s="43"/>
      <c r="AA751" s="43"/>
      <c r="AB751" s="43"/>
    </row>
    <row r="752" spans="10:30" hidden="1">
      <c r="J752" s="43"/>
      <c r="K752" s="139"/>
      <c r="L752" s="139"/>
      <c r="M752" s="139"/>
      <c r="N752" s="139"/>
      <c r="O752" s="139"/>
      <c r="P752" s="139"/>
      <c r="Q752" s="139"/>
      <c r="R752" s="43"/>
      <c r="S752" s="43"/>
      <c r="T752" s="43"/>
      <c r="U752" s="43"/>
      <c r="V752" s="43"/>
      <c r="W752" s="43"/>
      <c r="X752" s="43"/>
      <c r="Y752" s="43"/>
      <c r="Z752" s="43"/>
      <c r="AA752" s="43"/>
      <c r="AB752" s="43"/>
    </row>
    <row r="753" spans="1:28" hidden="1">
      <c r="A753" s="73"/>
      <c r="B753" s="73"/>
      <c r="C753" s="35"/>
      <c r="D753" s="73"/>
      <c r="E753" s="73"/>
      <c r="F753" s="73"/>
      <c r="G753" s="73"/>
      <c r="H753" s="73"/>
      <c r="I753" s="73"/>
      <c r="J753" s="43"/>
      <c r="K753" s="139"/>
      <c r="L753" s="139"/>
      <c r="M753" s="139"/>
      <c r="N753" s="139"/>
      <c r="O753" s="139"/>
      <c r="P753" s="139"/>
      <c r="Q753" s="139"/>
      <c r="R753" s="43"/>
      <c r="S753" s="43"/>
      <c r="T753" s="43"/>
      <c r="U753" s="43"/>
      <c r="V753" s="43"/>
      <c r="W753" s="43"/>
      <c r="X753" s="43"/>
      <c r="Y753" s="43"/>
      <c r="Z753" s="43"/>
      <c r="AA753" s="43"/>
      <c r="AB753" s="43"/>
    </row>
    <row r="754" spans="1:28" hidden="1">
      <c r="A754" s="43"/>
      <c r="B754" s="43"/>
      <c r="C754" s="35"/>
      <c r="D754" s="43"/>
      <c r="E754" s="43"/>
      <c r="F754" s="43"/>
      <c r="G754" s="43"/>
      <c r="H754" s="43"/>
      <c r="I754" s="43"/>
      <c r="J754" s="43"/>
      <c r="K754" s="139"/>
      <c r="L754" s="139"/>
      <c r="M754" s="139"/>
      <c r="N754" s="139"/>
      <c r="O754" s="139"/>
      <c r="P754" s="139"/>
      <c r="Q754" s="285"/>
      <c r="R754" s="43"/>
      <c r="S754" s="43"/>
      <c r="T754" s="43"/>
      <c r="U754" s="43"/>
      <c r="V754" s="43"/>
      <c r="W754" s="43"/>
      <c r="X754" s="43"/>
      <c r="Y754" s="43"/>
      <c r="Z754" s="43"/>
      <c r="AA754" s="43"/>
      <c r="AB754" s="43"/>
    </row>
    <row r="755" spans="1:28" hidden="1">
      <c r="A755" s="43"/>
      <c r="B755" s="43"/>
      <c r="C755" s="35"/>
      <c r="D755" s="43"/>
      <c r="E755" s="43"/>
      <c r="F755" s="43"/>
      <c r="G755" s="43"/>
      <c r="H755" s="43"/>
      <c r="I755" s="43"/>
      <c r="J755" s="43"/>
      <c r="K755" s="285"/>
      <c r="L755" s="285"/>
      <c r="M755" s="285"/>
      <c r="N755" s="285"/>
      <c r="O755" s="285"/>
      <c r="P755" s="285"/>
      <c r="Q755" s="139"/>
      <c r="R755" s="43"/>
      <c r="S755" s="43"/>
      <c r="T755" s="43"/>
      <c r="U755" s="43"/>
      <c r="V755" s="43"/>
      <c r="W755" s="43"/>
      <c r="X755" s="43"/>
      <c r="Y755" s="43"/>
      <c r="Z755" s="43"/>
      <c r="AA755" s="43"/>
      <c r="AB755" s="43"/>
    </row>
    <row r="756" spans="1:28" hidden="1">
      <c r="A756" s="43"/>
      <c r="B756" s="43"/>
      <c r="C756" s="35"/>
      <c r="D756" s="43"/>
      <c r="E756" s="43"/>
      <c r="F756" s="43"/>
      <c r="G756" s="43"/>
      <c r="H756" s="43"/>
      <c r="I756" s="43"/>
      <c r="J756" s="43"/>
      <c r="K756" s="139"/>
      <c r="L756" s="139"/>
      <c r="M756" s="139"/>
      <c r="N756" s="139"/>
      <c r="O756" s="139"/>
      <c r="P756" s="139"/>
      <c r="Q756" s="139"/>
      <c r="R756" s="43"/>
      <c r="S756" s="43"/>
      <c r="T756" s="43"/>
      <c r="U756" s="43"/>
      <c r="V756" s="43"/>
      <c r="W756" s="43"/>
      <c r="X756" s="43"/>
      <c r="Y756" s="43"/>
      <c r="Z756" s="43"/>
      <c r="AA756" s="43"/>
      <c r="AB756" s="43"/>
    </row>
    <row r="757" spans="1:28" hidden="1">
      <c r="A757" s="43"/>
      <c r="B757" s="43"/>
      <c r="C757" s="35"/>
      <c r="D757" s="43"/>
      <c r="E757" s="43"/>
      <c r="F757" s="43"/>
      <c r="G757" s="43"/>
      <c r="H757" s="43"/>
      <c r="I757" s="43"/>
      <c r="J757" s="43"/>
      <c r="K757" s="139"/>
      <c r="L757" s="139"/>
      <c r="M757" s="139"/>
      <c r="N757" s="139"/>
      <c r="O757" s="139"/>
      <c r="P757" s="139"/>
      <c r="Q757" s="285"/>
      <c r="R757" s="43"/>
      <c r="S757" s="43"/>
      <c r="T757" s="43"/>
      <c r="U757" s="43"/>
      <c r="V757" s="43"/>
      <c r="W757" s="43"/>
      <c r="X757" s="43"/>
      <c r="Y757" s="43"/>
      <c r="Z757" s="43"/>
      <c r="AA757" s="43"/>
      <c r="AB757" s="43"/>
    </row>
    <row r="758" spans="1:28" hidden="1">
      <c r="A758" s="43"/>
      <c r="B758" s="43"/>
      <c r="C758" s="35"/>
      <c r="D758" s="43"/>
      <c r="E758" s="43"/>
      <c r="F758" s="43"/>
      <c r="G758" s="43"/>
      <c r="H758" s="43"/>
      <c r="I758" s="43"/>
      <c r="J758" s="43"/>
      <c r="K758" s="285"/>
      <c r="L758" s="285"/>
      <c r="M758" s="285"/>
      <c r="N758" s="285"/>
      <c r="O758" s="285"/>
      <c r="P758" s="285"/>
      <c r="Q758" s="285"/>
      <c r="R758" s="43"/>
      <c r="S758" s="43"/>
      <c r="T758" s="43"/>
      <c r="U758" s="43"/>
      <c r="V758" s="43"/>
      <c r="W758" s="43"/>
      <c r="X758" s="43"/>
      <c r="Y758" s="43"/>
      <c r="Z758" s="43"/>
      <c r="AA758" s="43"/>
      <c r="AB758" s="43"/>
    </row>
    <row r="759" spans="1:28" hidden="1">
      <c r="A759" s="43"/>
      <c r="B759" s="43"/>
      <c r="C759" s="35"/>
      <c r="D759" s="43"/>
      <c r="E759" s="43"/>
      <c r="F759" s="43"/>
      <c r="G759" s="43"/>
      <c r="H759" s="43"/>
      <c r="I759" s="43"/>
      <c r="J759" s="43"/>
      <c r="K759" s="285"/>
      <c r="L759" s="285"/>
      <c r="M759" s="285"/>
      <c r="N759" s="285"/>
      <c r="O759" s="285"/>
      <c r="P759" s="285"/>
      <c r="Q759" s="285"/>
      <c r="R759" s="43"/>
      <c r="S759" s="43"/>
      <c r="T759" s="43"/>
      <c r="U759" s="43"/>
      <c r="V759" s="43"/>
      <c r="W759" s="43"/>
      <c r="X759" s="43"/>
      <c r="Y759" s="43"/>
      <c r="Z759" s="43"/>
      <c r="AA759" s="43"/>
      <c r="AB759" s="43"/>
    </row>
    <row r="760" spans="1:28" hidden="1">
      <c r="A760" s="43"/>
      <c r="B760" s="43"/>
      <c r="C760" s="35"/>
      <c r="D760" s="43"/>
      <c r="E760" s="43"/>
      <c r="F760" s="43"/>
      <c r="G760" s="43"/>
      <c r="H760" s="43"/>
      <c r="I760" s="43"/>
      <c r="J760" s="43"/>
      <c r="K760" s="285"/>
      <c r="L760" s="285"/>
      <c r="M760" s="285"/>
      <c r="N760" s="285"/>
      <c r="O760" s="285"/>
      <c r="P760" s="285"/>
      <c r="Q760" s="139"/>
      <c r="S760" s="43"/>
      <c r="T760" s="43"/>
      <c r="U760" s="43"/>
      <c r="V760" s="43"/>
      <c r="W760" s="43"/>
      <c r="X760" s="43"/>
      <c r="Y760" s="43"/>
      <c r="Z760" s="43"/>
      <c r="AA760" s="43"/>
      <c r="AB760" s="43"/>
    </row>
    <row r="761" spans="1:28" hidden="1">
      <c r="A761" s="43"/>
      <c r="B761" s="43"/>
      <c r="C761" s="35"/>
      <c r="D761" s="43"/>
      <c r="E761" s="43"/>
      <c r="F761" s="43"/>
      <c r="G761" s="43"/>
      <c r="H761" s="43"/>
      <c r="I761" s="43"/>
      <c r="J761" s="43"/>
      <c r="K761" s="139"/>
      <c r="L761" s="139"/>
      <c r="M761" s="139"/>
      <c r="N761" s="139"/>
      <c r="O761" s="139"/>
      <c r="P761" s="139"/>
      <c r="Q761" s="285"/>
      <c r="S761" s="43"/>
      <c r="T761" s="43"/>
      <c r="U761" s="43"/>
      <c r="V761" s="43"/>
      <c r="W761" s="43"/>
      <c r="X761" s="43"/>
      <c r="Y761" s="43"/>
      <c r="Z761" s="43"/>
      <c r="AA761" s="43"/>
      <c r="AB761" s="43"/>
    </row>
    <row r="762" spans="1:28" hidden="1">
      <c r="J762" s="43"/>
      <c r="K762" s="285"/>
      <c r="L762" s="285"/>
      <c r="M762" s="285"/>
      <c r="N762" s="285"/>
      <c r="O762" s="285"/>
      <c r="P762" s="285"/>
      <c r="Q762" s="139"/>
      <c r="S762" s="43"/>
      <c r="T762" s="43"/>
      <c r="U762" s="43"/>
      <c r="V762" s="43"/>
      <c r="W762" s="43"/>
      <c r="X762" s="43"/>
      <c r="Y762" s="43"/>
      <c r="Z762" s="43"/>
      <c r="AA762" s="43"/>
      <c r="AB762" s="43"/>
    </row>
    <row r="763" spans="1:28" hidden="1">
      <c r="J763" s="43"/>
      <c r="K763" s="139"/>
      <c r="L763" s="139"/>
      <c r="M763" s="139"/>
      <c r="N763" s="139"/>
      <c r="O763" s="139"/>
      <c r="P763" s="139"/>
      <c r="Q763" s="139"/>
      <c r="S763" s="43"/>
      <c r="T763" s="43"/>
      <c r="U763" s="43"/>
      <c r="V763" s="43"/>
      <c r="W763" s="43"/>
      <c r="X763" s="43"/>
      <c r="Y763" s="43"/>
      <c r="Z763" s="43"/>
      <c r="AA763" s="43"/>
      <c r="AB763" s="43"/>
    </row>
    <row r="764" spans="1:28" hidden="1">
      <c r="J764" s="43"/>
      <c r="K764" s="139"/>
      <c r="L764" s="139"/>
      <c r="M764" s="139"/>
      <c r="N764" s="139"/>
      <c r="O764" s="139"/>
      <c r="P764" s="139"/>
      <c r="Q764" s="139"/>
      <c r="S764" s="43"/>
      <c r="T764" s="43"/>
      <c r="U764" s="43"/>
      <c r="V764" s="43"/>
      <c r="W764" s="43"/>
      <c r="X764" s="43"/>
      <c r="Y764" s="43"/>
      <c r="Z764" s="43"/>
      <c r="AA764" s="43"/>
      <c r="AB764" s="43"/>
    </row>
    <row r="765" spans="1:28" hidden="1">
      <c r="J765" s="43"/>
      <c r="K765" s="139"/>
      <c r="L765" s="139"/>
      <c r="M765" s="139"/>
      <c r="N765" s="139"/>
      <c r="O765" s="139"/>
      <c r="P765" s="139"/>
      <c r="Q765" s="139"/>
      <c r="S765" s="43"/>
      <c r="T765" s="43"/>
      <c r="U765" s="43"/>
      <c r="V765" s="43"/>
      <c r="W765" s="43"/>
      <c r="X765" s="43"/>
      <c r="Y765" s="43"/>
      <c r="Z765" s="43"/>
      <c r="AA765" s="43"/>
      <c r="AB765" s="43"/>
    </row>
    <row r="766" spans="1:28" hidden="1">
      <c r="J766" s="43"/>
      <c r="K766" s="139"/>
      <c r="L766" s="139"/>
      <c r="M766" s="139"/>
      <c r="N766" s="139"/>
      <c r="O766" s="139"/>
      <c r="P766" s="139"/>
      <c r="Q766" s="139"/>
      <c r="S766" s="43"/>
      <c r="T766" s="43"/>
      <c r="U766" s="43"/>
      <c r="V766" s="43"/>
      <c r="W766" s="43"/>
      <c r="X766" s="43"/>
      <c r="Y766" s="43"/>
      <c r="Z766" s="43"/>
      <c r="AA766" s="43"/>
      <c r="AB766" s="43"/>
    </row>
    <row r="767" spans="1:28" hidden="1">
      <c r="J767" s="43"/>
      <c r="K767" s="139"/>
      <c r="L767" s="139"/>
      <c r="M767" s="139"/>
      <c r="N767" s="139"/>
      <c r="O767" s="139"/>
      <c r="P767" s="139"/>
      <c r="Q767" s="139"/>
      <c r="S767" s="43"/>
      <c r="T767" s="43"/>
      <c r="U767" s="43"/>
      <c r="V767" s="43"/>
      <c r="W767" s="43"/>
      <c r="X767" s="43"/>
      <c r="Y767" s="43"/>
      <c r="Z767" s="43"/>
      <c r="AA767" s="43"/>
      <c r="AB767" s="43"/>
    </row>
    <row r="768" spans="1:28" hidden="1">
      <c r="J768" s="43"/>
      <c r="K768" s="139"/>
      <c r="L768" s="139"/>
      <c r="M768" s="139"/>
      <c r="N768" s="139"/>
      <c r="O768" s="139"/>
      <c r="P768" s="139"/>
      <c r="Q768" s="139"/>
      <c r="S768" s="43"/>
      <c r="T768" s="43"/>
      <c r="U768" s="43"/>
      <c r="V768" s="43"/>
      <c r="W768" s="43"/>
      <c r="X768" s="43"/>
      <c r="Y768" s="43"/>
      <c r="Z768" s="43"/>
      <c r="AA768" s="43"/>
      <c r="AB768" s="43"/>
    </row>
    <row r="769" spans="1:18" hidden="1">
      <c r="J769" s="43"/>
      <c r="K769" s="139"/>
      <c r="L769" s="139"/>
      <c r="M769" s="139"/>
      <c r="N769" s="139"/>
      <c r="O769" s="139"/>
      <c r="P769" s="139"/>
      <c r="Q769" s="139"/>
    </row>
    <row r="770" spans="1:18" hidden="1">
      <c r="J770" s="43"/>
      <c r="K770" s="139"/>
      <c r="L770" s="139"/>
      <c r="M770" s="139"/>
      <c r="N770" s="139"/>
      <c r="O770" s="139"/>
      <c r="P770" s="139"/>
      <c r="Q770" s="139"/>
    </row>
    <row r="771" spans="1:18" hidden="1">
      <c r="J771" s="43"/>
      <c r="K771" s="139"/>
      <c r="L771" s="139"/>
      <c r="M771" s="139"/>
      <c r="N771" s="139"/>
      <c r="O771" s="139"/>
      <c r="P771" s="139"/>
      <c r="Q771" s="139"/>
    </row>
    <row r="772" spans="1:18" hidden="1">
      <c r="J772" s="43"/>
      <c r="K772" s="139"/>
      <c r="L772" s="139"/>
      <c r="M772" s="139"/>
      <c r="N772" s="139"/>
      <c r="O772" s="139"/>
      <c r="P772" s="139"/>
      <c r="Q772" s="139"/>
    </row>
    <row r="773" spans="1:18" hidden="1">
      <c r="J773" s="43"/>
      <c r="K773" s="139"/>
      <c r="L773" s="139"/>
      <c r="M773" s="139"/>
      <c r="N773" s="139"/>
      <c r="O773" s="139"/>
      <c r="P773" s="139"/>
      <c r="Q773" s="139"/>
    </row>
    <row r="774" spans="1:18" hidden="1">
      <c r="A774" s="30"/>
      <c r="B774" s="30"/>
      <c r="D774" s="30"/>
      <c r="E774" s="30"/>
      <c r="F774" s="30"/>
      <c r="H774" s="30"/>
      <c r="I774" s="43"/>
      <c r="J774" s="43"/>
      <c r="K774" s="139"/>
      <c r="L774" s="139"/>
      <c r="M774" s="139"/>
      <c r="N774" s="139"/>
      <c r="O774" s="139"/>
      <c r="P774" s="139"/>
      <c r="Q774" s="139"/>
    </row>
    <row r="775" spans="1:18" hidden="1">
      <c r="A775" s="30"/>
      <c r="B775" s="30"/>
      <c r="D775" s="30"/>
      <c r="E775" s="30"/>
      <c r="F775" s="30"/>
      <c r="H775" s="30"/>
      <c r="I775" s="43"/>
      <c r="J775" s="43"/>
      <c r="K775" s="139"/>
      <c r="L775" s="139"/>
      <c r="M775" s="139"/>
      <c r="N775" s="139"/>
      <c r="O775" s="139"/>
      <c r="P775" s="139"/>
      <c r="Q775" s="139"/>
    </row>
    <row r="776" spans="1:18" hidden="1">
      <c r="A776" s="30"/>
      <c r="B776" s="30"/>
      <c r="D776" s="30"/>
      <c r="E776" s="30"/>
      <c r="F776" s="30"/>
      <c r="H776" s="30"/>
      <c r="I776" s="43"/>
      <c r="J776" s="43"/>
      <c r="K776" s="139"/>
      <c r="L776" s="139"/>
      <c r="M776" s="139"/>
      <c r="N776" s="139"/>
      <c r="O776" s="139"/>
      <c r="P776" s="139"/>
      <c r="Q776" s="139"/>
    </row>
    <row r="777" spans="1:18" hidden="1">
      <c r="A777" s="30"/>
      <c r="B777" s="30"/>
      <c r="D777" s="30"/>
      <c r="E777" s="30"/>
      <c r="F777" s="30"/>
      <c r="H777" s="30"/>
      <c r="I777" s="43"/>
      <c r="J777" s="43"/>
      <c r="K777" s="139"/>
      <c r="L777" s="139"/>
      <c r="M777" s="139"/>
      <c r="N777" s="139"/>
      <c r="O777" s="139"/>
      <c r="P777" s="139"/>
      <c r="Q777" s="139"/>
    </row>
    <row r="778" spans="1:18" hidden="1">
      <c r="A778" s="30"/>
      <c r="B778" s="30"/>
      <c r="D778" s="30"/>
      <c r="E778" s="30"/>
      <c r="F778" s="30"/>
      <c r="H778" s="30"/>
      <c r="J778" s="43"/>
      <c r="K778" s="139"/>
      <c r="L778" s="139"/>
      <c r="M778" s="139"/>
      <c r="N778" s="139"/>
      <c r="O778" s="139"/>
      <c r="P778" s="139"/>
      <c r="Q778" s="139"/>
    </row>
    <row r="779" spans="1:18" hidden="1">
      <c r="A779" s="30"/>
      <c r="B779" s="30"/>
      <c r="D779" s="30"/>
      <c r="E779" s="30"/>
      <c r="F779" s="30"/>
      <c r="H779" s="30"/>
      <c r="J779" s="43"/>
      <c r="K779" s="139"/>
      <c r="L779" s="139"/>
      <c r="M779" s="139"/>
      <c r="N779" s="139"/>
      <c r="O779" s="139"/>
      <c r="P779" s="139"/>
      <c r="Q779" s="139"/>
    </row>
    <row r="780" spans="1:18" hidden="1">
      <c r="A780" s="30"/>
      <c r="B780" s="30"/>
      <c r="D780" s="30"/>
      <c r="E780" s="30"/>
      <c r="F780" s="30"/>
      <c r="H780" s="30"/>
      <c r="J780" s="43"/>
      <c r="K780" s="139"/>
      <c r="L780" s="139"/>
      <c r="M780" s="139"/>
      <c r="N780" s="139"/>
      <c r="O780" s="139"/>
      <c r="P780" s="139"/>
      <c r="Q780" s="139"/>
    </row>
    <row r="781" spans="1:18" hidden="1">
      <c r="A781" s="30"/>
      <c r="B781" s="30"/>
      <c r="D781" s="30"/>
      <c r="E781" s="30"/>
      <c r="F781" s="30"/>
      <c r="H781" s="30"/>
      <c r="J781" s="43"/>
      <c r="K781" s="139"/>
      <c r="L781" s="139"/>
      <c r="M781" s="139"/>
      <c r="N781" s="139"/>
      <c r="O781" s="139"/>
      <c r="P781" s="139"/>
      <c r="Q781" s="139"/>
    </row>
    <row r="782" spans="1:18" hidden="1">
      <c r="A782" s="30"/>
      <c r="B782" s="30"/>
      <c r="D782" s="30"/>
      <c r="E782" s="30"/>
      <c r="F782" s="30"/>
      <c r="H782" s="30"/>
      <c r="J782" s="43"/>
      <c r="K782" s="139"/>
      <c r="L782" s="139"/>
      <c r="M782" s="139"/>
      <c r="N782" s="139"/>
      <c r="O782" s="139"/>
      <c r="P782" s="139"/>
      <c r="Q782" s="139"/>
    </row>
    <row r="783" spans="1:18" hidden="1">
      <c r="A783" s="30"/>
      <c r="B783" s="30"/>
      <c r="D783" s="30"/>
      <c r="E783" s="30"/>
      <c r="F783" s="30"/>
      <c r="H783" s="30"/>
      <c r="J783" s="43"/>
      <c r="K783" s="139"/>
      <c r="L783" s="139"/>
      <c r="M783" s="139"/>
      <c r="N783" s="139"/>
      <c r="O783" s="139"/>
      <c r="P783" s="139"/>
      <c r="Q783" s="139"/>
    </row>
    <row r="784" spans="1:18" hidden="1">
      <c r="A784" s="30"/>
      <c r="B784" s="30"/>
      <c r="D784" s="30"/>
      <c r="E784" s="30"/>
      <c r="F784" s="30"/>
      <c r="H784" s="30"/>
      <c r="J784" s="43"/>
      <c r="K784" s="139"/>
      <c r="L784" s="139"/>
      <c r="M784" s="139"/>
      <c r="N784" s="139"/>
      <c r="O784" s="139"/>
      <c r="P784" s="139"/>
      <c r="Q784" s="139"/>
      <c r="R784" s="85"/>
    </row>
    <row r="785" spans="1:18" hidden="1">
      <c r="A785" s="30"/>
      <c r="B785" s="30"/>
      <c r="D785" s="30"/>
      <c r="E785" s="30"/>
      <c r="F785" s="30"/>
      <c r="H785" s="30"/>
      <c r="J785" s="43"/>
      <c r="K785" s="139"/>
      <c r="L785" s="139"/>
      <c r="M785" s="139"/>
      <c r="N785" s="139"/>
      <c r="O785" s="139"/>
      <c r="P785" s="139"/>
      <c r="Q785" s="139"/>
      <c r="R785" s="85"/>
    </row>
    <row r="786" spans="1:18" hidden="1">
      <c r="A786" s="30"/>
      <c r="B786" s="30"/>
      <c r="D786" s="30"/>
      <c r="E786" s="30"/>
      <c r="F786" s="30"/>
      <c r="H786" s="30"/>
      <c r="J786" s="43"/>
      <c r="K786" s="139"/>
      <c r="L786" s="139"/>
      <c r="M786" s="139"/>
      <c r="N786" s="139"/>
      <c r="O786" s="139"/>
      <c r="P786" s="139"/>
      <c r="Q786" s="139"/>
      <c r="R786" s="85"/>
    </row>
    <row r="787" spans="1:18" hidden="1">
      <c r="A787" s="30"/>
      <c r="B787" s="30"/>
      <c r="D787" s="30"/>
      <c r="E787" s="30"/>
      <c r="F787" s="30"/>
      <c r="H787" s="30"/>
      <c r="J787" s="43"/>
      <c r="K787" s="139"/>
      <c r="L787" s="139"/>
      <c r="M787" s="139"/>
      <c r="N787" s="139"/>
      <c r="O787" s="139"/>
      <c r="P787" s="139"/>
      <c r="Q787" s="139"/>
      <c r="R787" s="85"/>
    </row>
    <row r="788" spans="1:18" hidden="1">
      <c r="A788" s="30"/>
      <c r="B788" s="30"/>
      <c r="D788" s="30"/>
      <c r="E788" s="30"/>
      <c r="F788" s="30"/>
      <c r="H788" s="30"/>
      <c r="J788" s="43"/>
      <c r="K788" s="139"/>
      <c r="L788" s="139"/>
      <c r="M788" s="139"/>
      <c r="N788" s="139"/>
      <c r="O788" s="139"/>
      <c r="P788" s="139"/>
      <c r="Q788" s="139"/>
      <c r="R788" s="85"/>
    </row>
    <row r="789" spans="1:18" hidden="1">
      <c r="A789" s="30"/>
      <c r="B789" s="30"/>
      <c r="D789" s="30"/>
      <c r="E789" s="30"/>
      <c r="F789" s="30"/>
      <c r="H789" s="30"/>
      <c r="J789" s="43"/>
      <c r="K789" s="139"/>
      <c r="L789" s="139"/>
      <c r="M789" s="139"/>
      <c r="N789" s="139"/>
      <c r="O789" s="139"/>
      <c r="P789" s="139"/>
      <c r="Q789" s="139"/>
      <c r="R789" s="85"/>
    </row>
    <row r="790" spans="1:18" hidden="1">
      <c r="A790" s="30"/>
      <c r="B790" s="30"/>
      <c r="D790" s="30"/>
      <c r="E790" s="30"/>
      <c r="F790" s="30"/>
      <c r="H790" s="30"/>
      <c r="J790" s="43"/>
      <c r="K790" s="139"/>
      <c r="L790" s="139"/>
      <c r="M790" s="139"/>
      <c r="N790" s="139"/>
      <c r="O790" s="139"/>
      <c r="P790" s="139"/>
      <c r="Q790" s="139"/>
      <c r="R790" s="85"/>
    </row>
    <row r="791" spans="1:18" hidden="1">
      <c r="A791" s="30"/>
      <c r="B791" s="30"/>
      <c r="D791" s="30"/>
      <c r="E791" s="30"/>
      <c r="F791" s="30"/>
      <c r="H791" s="30"/>
      <c r="J791" s="43"/>
      <c r="K791" s="139"/>
      <c r="L791" s="139"/>
      <c r="M791" s="139"/>
      <c r="N791" s="139"/>
      <c r="O791" s="139"/>
      <c r="P791" s="139"/>
      <c r="Q791" s="139"/>
      <c r="R791" s="85"/>
    </row>
    <row r="792" spans="1:18" hidden="1">
      <c r="A792" s="30"/>
      <c r="B792" s="30"/>
      <c r="D792" s="30"/>
      <c r="E792" s="30"/>
      <c r="F792" s="30"/>
      <c r="H792" s="30"/>
      <c r="J792" s="43"/>
      <c r="K792" s="139"/>
      <c r="L792" s="139"/>
      <c r="M792" s="139"/>
      <c r="N792" s="139"/>
      <c r="O792" s="139"/>
      <c r="P792" s="139"/>
      <c r="Q792" s="139"/>
    </row>
    <row r="793" spans="1:18" hidden="1">
      <c r="A793" s="30"/>
      <c r="B793" s="30"/>
      <c r="D793" s="30"/>
      <c r="E793" s="30"/>
      <c r="F793" s="30"/>
      <c r="H793" s="30"/>
      <c r="J793" s="43"/>
      <c r="K793" s="139"/>
      <c r="L793" s="139"/>
      <c r="M793" s="139"/>
      <c r="N793" s="139"/>
      <c r="O793" s="139"/>
      <c r="P793" s="139"/>
      <c r="Q793" s="139"/>
    </row>
    <row r="794" spans="1:18" hidden="1">
      <c r="A794" s="30"/>
      <c r="B794" s="30"/>
      <c r="D794" s="30"/>
      <c r="E794" s="30"/>
      <c r="F794" s="30"/>
      <c r="H794" s="30"/>
      <c r="J794" s="43"/>
      <c r="K794" s="139"/>
      <c r="L794" s="139"/>
      <c r="M794" s="139"/>
      <c r="N794" s="139"/>
      <c r="O794" s="139"/>
      <c r="P794" s="139"/>
      <c r="Q794" s="139"/>
    </row>
    <row r="795" spans="1:18" hidden="1">
      <c r="A795" s="30"/>
      <c r="B795" s="30"/>
      <c r="D795" s="30"/>
      <c r="E795" s="30"/>
      <c r="F795" s="30"/>
      <c r="H795" s="30"/>
      <c r="J795" s="43"/>
      <c r="K795" s="139"/>
      <c r="L795" s="139"/>
      <c r="M795" s="139"/>
      <c r="N795" s="139"/>
      <c r="O795" s="139"/>
      <c r="P795" s="139"/>
      <c r="Q795" s="139"/>
    </row>
    <row r="796" spans="1:18" hidden="1">
      <c r="A796" s="30"/>
      <c r="B796" s="30"/>
      <c r="D796" s="30"/>
      <c r="E796" s="30"/>
      <c r="F796" s="30"/>
      <c r="H796" s="30"/>
      <c r="J796" s="43"/>
      <c r="K796" s="139"/>
      <c r="L796" s="139"/>
      <c r="M796" s="139"/>
      <c r="N796" s="139"/>
      <c r="O796" s="139"/>
      <c r="P796" s="139"/>
      <c r="Q796" s="139"/>
    </row>
    <row r="797" spans="1:18" hidden="1">
      <c r="A797" s="30"/>
      <c r="B797" s="30"/>
      <c r="D797" s="30"/>
      <c r="E797" s="30"/>
      <c r="F797" s="30"/>
      <c r="H797" s="30"/>
      <c r="J797" s="43"/>
      <c r="K797" s="139"/>
      <c r="L797" s="139"/>
      <c r="M797" s="139"/>
      <c r="N797" s="139"/>
      <c r="O797" s="139"/>
      <c r="P797" s="139"/>
      <c r="Q797" s="139"/>
    </row>
    <row r="798" spans="1:18" hidden="1">
      <c r="A798" s="30"/>
      <c r="B798" s="30"/>
      <c r="D798" s="30"/>
      <c r="E798" s="30"/>
      <c r="F798" s="30"/>
      <c r="H798" s="30"/>
      <c r="J798" s="43"/>
      <c r="K798" s="139"/>
      <c r="L798" s="139"/>
      <c r="M798" s="139"/>
      <c r="N798" s="139"/>
      <c r="O798" s="139"/>
      <c r="P798" s="139"/>
      <c r="Q798" s="139"/>
      <c r="R798" s="43"/>
    </row>
    <row r="799" spans="1:18" hidden="1">
      <c r="A799" s="30"/>
      <c r="B799" s="30"/>
      <c r="D799" s="30"/>
      <c r="E799" s="30"/>
      <c r="F799" s="30"/>
      <c r="H799" s="30"/>
      <c r="J799" s="43"/>
      <c r="K799" s="139"/>
      <c r="L799" s="139"/>
      <c r="M799" s="139"/>
      <c r="N799" s="139"/>
      <c r="O799" s="139"/>
      <c r="P799" s="139"/>
      <c r="Q799" s="285"/>
      <c r="R799" s="43"/>
    </row>
    <row r="800" spans="1:18" hidden="1">
      <c r="A800" s="30"/>
      <c r="B800" s="30"/>
      <c r="D800" s="30"/>
      <c r="E800" s="30"/>
      <c r="F800" s="30"/>
      <c r="H800" s="30"/>
      <c r="J800" s="43"/>
      <c r="K800" s="285"/>
      <c r="L800" s="285"/>
      <c r="M800" s="285"/>
      <c r="N800" s="285"/>
      <c r="O800" s="285"/>
      <c r="P800" s="285"/>
      <c r="Q800" s="285"/>
      <c r="R800" s="43"/>
    </row>
    <row r="801" spans="1:18" hidden="1">
      <c r="A801" s="30"/>
      <c r="B801" s="30"/>
      <c r="D801" s="30"/>
      <c r="E801" s="30"/>
      <c r="F801" s="30"/>
      <c r="H801" s="30"/>
      <c r="J801" s="43"/>
      <c r="K801" s="285"/>
      <c r="L801" s="285"/>
      <c r="M801" s="285"/>
      <c r="N801" s="285"/>
      <c r="O801" s="285"/>
      <c r="P801" s="285"/>
      <c r="Q801" s="285"/>
      <c r="R801" s="43"/>
    </row>
    <row r="802" spans="1:18" hidden="1">
      <c r="A802" s="30"/>
      <c r="B802" s="30"/>
      <c r="D802" s="30"/>
      <c r="E802" s="30"/>
      <c r="F802" s="30"/>
      <c r="H802" s="30"/>
      <c r="J802" s="43"/>
      <c r="K802" s="285"/>
      <c r="L802" s="285"/>
      <c r="M802" s="285"/>
      <c r="N802" s="285"/>
      <c r="O802" s="285"/>
      <c r="P802" s="285"/>
      <c r="Q802" s="139"/>
      <c r="R802" s="43"/>
    </row>
    <row r="803" spans="1:18" hidden="1">
      <c r="A803" s="30"/>
      <c r="B803" s="30"/>
      <c r="D803" s="30"/>
      <c r="E803" s="30"/>
      <c r="F803" s="30"/>
      <c r="H803" s="30"/>
      <c r="J803" s="43"/>
      <c r="K803" s="139"/>
      <c r="L803" s="139"/>
      <c r="M803" s="139"/>
      <c r="N803" s="139"/>
      <c r="O803" s="139"/>
      <c r="P803" s="139"/>
      <c r="Q803" s="139"/>
      <c r="R803" s="43"/>
    </row>
    <row r="804" spans="1:18" hidden="1">
      <c r="A804" s="30"/>
      <c r="B804" s="30"/>
      <c r="D804" s="30"/>
      <c r="E804" s="30"/>
      <c r="F804" s="30"/>
      <c r="H804" s="30"/>
      <c r="J804" s="43"/>
      <c r="K804" s="139"/>
      <c r="L804" s="139"/>
      <c r="M804" s="139"/>
      <c r="N804" s="139"/>
      <c r="O804" s="139"/>
      <c r="P804" s="139"/>
      <c r="Q804" s="139"/>
      <c r="R804" s="43"/>
    </row>
    <row r="805" spans="1:18" hidden="1">
      <c r="A805" s="30"/>
      <c r="B805" s="30"/>
      <c r="D805" s="30"/>
      <c r="E805" s="30"/>
      <c r="F805" s="30"/>
      <c r="H805" s="30"/>
      <c r="J805" s="43"/>
      <c r="K805" s="139"/>
      <c r="L805" s="139"/>
      <c r="M805" s="139"/>
      <c r="N805" s="139"/>
      <c r="O805" s="139"/>
      <c r="P805" s="139"/>
      <c r="Q805" s="139"/>
      <c r="R805" s="43"/>
    </row>
    <row r="806" spans="1:18" hidden="1">
      <c r="A806" s="30"/>
      <c r="B806" s="30"/>
      <c r="D806" s="30"/>
      <c r="E806" s="30"/>
      <c r="F806" s="30"/>
      <c r="H806" s="30"/>
      <c r="J806" s="43"/>
      <c r="K806" s="139"/>
      <c r="L806" s="139"/>
      <c r="M806" s="139"/>
      <c r="N806" s="139"/>
      <c r="O806" s="139"/>
      <c r="P806" s="139"/>
      <c r="Q806" s="139"/>
      <c r="R806" s="43"/>
    </row>
    <row r="807" spans="1:18" hidden="1">
      <c r="A807" s="30"/>
      <c r="B807" s="30"/>
      <c r="D807" s="30"/>
      <c r="E807" s="30"/>
      <c r="F807" s="30"/>
      <c r="H807" s="30"/>
      <c r="J807" s="43"/>
      <c r="K807" s="139"/>
      <c r="L807" s="139"/>
      <c r="M807" s="139"/>
      <c r="N807" s="139"/>
      <c r="O807" s="139"/>
      <c r="P807" s="139"/>
      <c r="Q807" s="139"/>
      <c r="R807" s="43"/>
    </row>
    <row r="808" spans="1:18" hidden="1">
      <c r="A808" s="30"/>
      <c r="B808" s="30"/>
      <c r="D808" s="30"/>
      <c r="E808" s="30"/>
      <c r="F808" s="30"/>
      <c r="H808" s="30"/>
      <c r="J808" s="43"/>
      <c r="K808" s="139"/>
      <c r="L808" s="139"/>
      <c r="M808" s="139"/>
      <c r="N808" s="139"/>
      <c r="O808" s="139"/>
      <c r="P808" s="139"/>
      <c r="Q808" s="139"/>
      <c r="R808" s="43"/>
    </row>
    <row r="809" spans="1:18" hidden="1">
      <c r="A809" s="30"/>
      <c r="B809" s="30"/>
      <c r="D809" s="30"/>
      <c r="E809" s="30"/>
      <c r="F809" s="30"/>
      <c r="H809" s="30"/>
      <c r="J809" s="43"/>
      <c r="K809" s="139"/>
      <c r="L809" s="139"/>
      <c r="M809" s="139"/>
      <c r="N809" s="139"/>
      <c r="O809" s="139"/>
      <c r="P809" s="139"/>
      <c r="Q809" s="139"/>
      <c r="R809" s="43"/>
    </row>
    <row r="810" spans="1:18" hidden="1">
      <c r="A810" s="30"/>
      <c r="B810" s="30"/>
      <c r="D810" s="30"/>
      <c r="E810" s="30"/>
      <c r="F810" s="30"/>
      <c r="H810" s="30"/>
      <c r="J810" s="43"/>
      <c r="K810" s="139"/>
      <c r="L810" s="139"/>
      <c r="M810" s="139"/>
      <c r="N810" s="139"/>
      <c r="O810" s="139"/>
      <c r="P810" s="139"/>
      <c r="Q810" s="139"/>
      <c r="R810" s="43"/>
    </row>
    <row r="811" spans="1:18" hidden="1">
      <c r="A811" s="30"/>
      <c r="B811" s="30"/>
      <c r="D811" s="30"/>
      <c r="E811" s="30"/>
      <c r="F811" s="30"/>
      <c r="H811" s="30"/>
      <c r="J811" s="43"/>
      <c r="K811" s="139"/>
      <c r="L811" s="139"/>
      <c r="M811" s="139"/>
      <c r="N811" s="139"/>
      <c r="O811" s="139"/>
      <c r="P811" s="139"/>
      <c r="Q811" s="139"/>
      <c r="R811" s="43"/>
    </row>
    <row r="812" spans="1:18" hidden="1">
      <c r="A812" s="30"/>
      <c r="B812" s="30"/>
      <c r="D812" s="30"/>
      <c r="E812" s="30"/>
      <c r="F812" s="30"/>
      <c r="H812" s="30"/>
      <c r="J812" s="43"/>
      <c r="K812" s="139"/>
      <c r="L812" s="139"/>
      <c r="M812" s="139"/>
      <c r="N812" s="139"/>
      <c r="O812" s="139"/>
      <c r="P812" s="139"/>
      <c r="Q812" s="139"/>
      <c r="R812" s="43"/>
    </row>
    <row r="813" spans="1:18" hidden="1">
      <c r="A813" s="30"/>
      <c r="B813" s="30"/>
      <c r="D813" s="30"/>
      <c r="E813" s="30"/>
      <c r="F813" s="30"/>
      <c r="H813" s="30"/>
      <c r="J813" s="43"/>
      <c r="K813" s="139"/>
      <c r="L813" s="139"/>
      <c r="M813" s="139"/>
      <c r="N813" s="139"/>
      <c r="O813" s="139"/>
      <c r="P813" s="139"/>
      <c r="Q813" s="139"/>
      <c r="R813" s="73"/>
    </row>
    <row r="814" spans="1:18" hidden="1">
      <c r="A814" s="30"/>
      <c r="B814" s="30"/>
      <c r="D814" s="30"/>
      <c r="E814" s="30"/>
      <c r="F814" s="30"/>
      <c r="H814" s="30"/>
      <c r="J814" s="43"/>
      <c r="K814" s="139"/>
      <c r="L814" s="139"/>
      <c r="M814" s="139"/>
      <c r="N814" s="139"/>
      <c r="O814" s="139"/>
      <c r="P814" s="139"/>
      <c r="Q814" s="139"/>
      <c r="R814" s="73"/>
    </row>
    <row r="815" spans="1:18" hidden="1">
      <c r="A815" s="30"/>
      <c r="B815" s="30"/>
      <c r="D815" s="30"/>
      <c r="E815" s="30"/>
      <c r="F815" s="30"/>
      <c r="H815" s="30"/>
      <c r="J815" s="43"/>
      <c r="K815" s="139"/>
      <c r="L815" s="139"/>
      <c r="M815" s="139"/>
      <c r="N815" s="139"/>
      <c r="O815" s="139"/>
      <c r="P815" s="139"/>
      <c r="Q815" s="139"/>
      <c r="R815" s="43"/>
    </row>
    <row r="816" spans="1:18" hidden="1">
      <c r="A816" s="30"/>
      <c r="B816" s="30"/>
      <c r="D816" s="30"/>
      <c r="E816" s="30"/>
      <c r="F816" s="30"/>
      <c r="H816" s="30"/>
      <c r="J816" s="43"/>
      <c r="K816" s="139"/>
      <c r="L816" s="139"/>
      <c r="M816" s="139"/>
      <c r="N816" s="139"/>
      <c r="O816" s="139"/>
      <c r="P816" s="139"/>
      <c r="Q816" s="139"/>
      <c r="R816" s="43"/>
    </row>
    <row r="817" spans="1:18" hidden="1">
      <c r="A817" s="30"/>
      <c r="B817" s="30"/>
      <c r="D817" s="30"/>
      <c r="E817" s="30"/>
      <c r="F817" s="30"/>
      <c r="H817" s="30"/>
      <c r="J817" s="43"/>
      <c r="K817" s="139"/>
      <c r="L817" s="139"/>
      <c r="M817" s="139"/>
      <c r="N817" s="139"/>
      <c r="O817" s="139"/>
      <c r="P817" s="139"/>
      <c r="Q817" s="139"/>
      <c r="R817" s="43"/>
    </row>
    <row r="818" spans="1:18" hidden="1">
      <c r="A818" s="30"/>
      <c r="B818" s="30"/>
      <c r="D818" s="30"/>
      <c r="E818" s="30"/>
      <c r="F818" s="30"/>
      <c r="H818" s="30"/>
      <c r="J818" s="43"/>
      <c r="K818" s="139"/>
      <c r="L818" s="139"/>
      <c r="M818" s="139"/>
      <c r="N818" s="139"/>
      <c r="O818" s="139"/>
      <c r="P818" s="139"/>
      <c r="Q818" s="139"/>
      <c r="R818" s="43"/>
    </row>
    <row r="819" spans="1:18" hidden="1">
      <c r="A819" s="30"/>
      <c r="B819" s="30"/>
      <c r="D819" s="30"/>
      <c r="E819" s="30"/>
      <c r="F819" s="30"/>
      <c r="H819" s="30"/>
      <c r="J819" s="43"/>
      <c r="K819" s="139"/>
      <c r="L819" s="139"/>
      <c r="M819" s="139"/>
      <c r="N819" s="139"/>
      <c r="O819" s="139"/>
      <c r="P819" s="139"/>
      <c r="Q819" s="139"/>
      <c r="R819" s="43"/>
    </row>
    <row r="820" spans="1:18" hidden="1">
      <c r="A820" s="30"/>
      <c r="B820" s="30"/>
      <c r="D820" s="30"/>
      <c r="E820" s="30"/>
      <c r="F820" s="30"/>
      <c r="H820" s="30"/>
      <c r="J820" s="43"/>
      <c r="K820" s="139"/>
      <c r="L820" s="139"/>
      <c r="M820" s="139"/>
      <c r="N820" s="139"/>
      <c r="O820" s="139"/>
      <c r="P820" s="139"/>
      <c r="Q820" s="139"/>
      <c r="R820" s="43"/>
    </row>
    <row r="821" spans="1:18" hidden="1">
      <c r="A821" s="30"/>
      <c r="B821" s="30"/>
      <c r="D821" s="30"/>
      <c r="E821" s="30"/>
      <c r="F821" s="30"/>
      <c r="H821" s="30"/>
      <c r="J821" s="43"/>
      <c r="K821" s="139"/>
      <c r="L821" s="139"/>
      <c r="M821" s="139"/>
      <c r="N821" s="139"/>
      <c r="O821" s="139"/>
      <c r="P821" s="139"/>
      <c r="Q821" s="139"/>
      <c r="R821" s="43"/>
    </row>
    <row r="822" spans="1:18" hidden="1">
      <c r="A822" s="30"/>
      <c r="B822" s="30"/>
      <c r="D822" s="30"/>
      <c r="E822" s="30"/>
      <c r="F822" s="30"/>
      <c r="H822" s="30"/>
      <c r="J822" s="43"/>
      <c r="K822" s="139"/>
      <c r="L822" s="139"/>
      <c r="M822" s="139"/>
      <c r="N822" s="139"/>
      <c r="O822" s="139"/>
      <c r="P822" s="139"/>
      <c r="Q822" s="139"/>
      <c r="R822" s="43"/>
    </row>
    <row r="823" spans="1:18" hidden="1">
      <c r="A823" s="30"/>
      <c r="B823" s="30"/>
      <c r="D823" s="30"/>
      <c r="E823" s="30"/>
      <c r="F823" s="30"/>
      <c r="H823" s="30"/>
      <c r="J823" s="43"/>
      <c r="K823" s="139"/>
      <c r="L823" s="139"/>
      <c r="M823" s="139"/>
      <c r="N823" s="139"/>
      <c r="O823" s="139"/>
      <c r="P823" s="139"/>
      <c r="Q823" s="139"/>
      <c r="R823" s="43"/>
    </row>
    <row r="824" spans="1:18" hidden="1">
      <c r="A824" s="30"/>
      <c r="B824" s="30"/>
      <c r="D824" s="30"/>
      <c r="E824" s="30"/>
      <c r="F824" s="30"/>
      <c r="H824" s="30"/>
      <c r="J824" s="43"/>
      <c r="K824" s="139"/>
      <c r="L824" s="139"/>
      <c r="M824" s="139"/>
      <c r="N824" s="139"/>
      <c r="O824" s="139"/>
      <c r="P824" s="139"/>
      <c r="Q824" s="139"/>
      <c r="R824" s="43"/>
    </row>
    <row r="825" spans="1:18" hidden="1">
      <c r="A825" s="30"/>
      <c r="B825" s="30"/>
      <c r="D825" s="30"/>
      <c r="E825" s="30"/>
      <c r="F825" s="30"/>
      <c r="H825" s="30"/>
      <c r="J825" s="43"/>
      <c r="K825" s="139"/>
      <c r="L825" s="139"/>
      <c r="M825" s="139"/>
      <c r="N825" s="139"/>
      <c r="O825" s="139"/>
      <c r="P825" s="139"/>
      <c r="Q825" s="139"/>
      <c r="R825" s="43"/>
    </row>
    <row r="826" spans="1:18" hidden="1">
      <c r="A826" s="30"/>
      <c r="B826" s="30"/>
      <c r="D826" s="30"/>
      <c r="E826" s="30"/>
      <c r="F826" s="30"/>
      <c r="H826" s="30"/>
      <c r="J826" s="43"/>
      <c r="K826" s="139"/>
      <c r="L826" s="139"/>
      <c r="M826" s="139"/>
      <c r="N826" s="139"/>
      <c r="O826" s="139"/>
      <c r="P826" s="139"/>
      <c r="Q826" s="206"/>
      <c r="R826" s="73"/>
    </row>
    <row r="827" spans="1:18" hidden="1">
      <c r="A827" s="30"/>
      <c r="B827" s="30"/>
      <c r="D827" s="30"/>
      <c r="E827" s="30"/>
      <c r="F827" s="30"/>
      <c r="H827" s="30"/>
      <c r="K827" s="206"/>
      <c r="L827" s="206"/>
      <c r="M827" s="139"/>
      <c r="N827" s="139"/>
      <c r="O827" s="139"/>
      <c r="P827" s="139"/>
      <c r="Q827" s="206"/>
      <c r="R827" s="43"/>
    </row>
    <row r="828" spans="1:18" hidden="1">
      <c r="A828" s="30"/>
      <c r="B828" s="30"/>
      <c r="D828" s="30"/>
      <c r="E828" s="30"/>
      <c r="F828" s="30"/>
      <c r="H828" s="30"/>
      <c r="K828" s="206"/>
      <c r="L828" s="206"/>
      <c r="M828" s="139"/>
      <c r="N828" s="139"/>
      <c r="O828" s="139"/>
      <c r="P828" s="139"/>
      <c r="Q828" s="206"/>
      <c r="R828" s="43"/>
    </row>
    <row r="829" spans="1:18" hidden="1">
      <c r="A829" s="30"/>
      <c r="B829" s="30"/>
      <c r="D829" s="30"/>
      <c r="E829" s="30"/>
      <c r="F829" s="30"/>
      <c r="H829" s="30"/>
      <c r="K829" s="206"/>
      <c r="L829" s="206"/>
      <c r="M829" s="139"/>
      <c r="N829" s="139"/>
      <c r="O829" s="139"/>
      <c r="P829" s="139"/>
      <c r="Q829" s="206"/>
      <c r="R829" s="43"/>
    </row>
    <row r="830" spans="1:18" hidden="1">
      <c r="A830" s="30"/>
      <c r="B830" s="30"/>
      <c r="D830" s="30"/>
      <c r="E830" s="30"/>
      <c r="F830" s="30"/>
      <c r="H830" s="30"/>
      <c r="K830" s="206"/>
      <c r="L830" s="206"/>
      <c r="M830" s="139"/>
      <c r="N830" s="139"/>
      <c r="O830" s="139"/>
      <c r="P830" s="139"/>
      <c r="Q830" s="206"/>
      <c r="R830" s="43"/>
    </row>
    <row r="831" spans="1:18" hidden="1">
      <c r="A831" s="30"/>
      <c r="B831" s="30"/>
      <c r="D831" s="30"/>
      <c r="E831" s="30"/>
      <c r="F831" s="30"/>
      <c r="H831" s="30"/>
      <c r="K831" s="206"/>
      <c r="L831" s="206"/>
      <c r="M831" s="139"/>
      <c r="N831" s="139"/>
      <c r="O831" s="139"/>
      <c r="P831" s="139"/>
      <c r="Q831" s="206"/>
      <c r="R831" s="43"/>
    </row>
    <row r="832" spans="1:18" hidden="1">
      <c r="A832" s="30"/>
      <c r="B832" s="30"/>
      <c r="D832" s="30"/>
      <c r="E832" s="30"/>
      <c r="F832" s="30"/>
      <c r="H832" s="30"/>
      <c r="K832" s="206"/>
      <c r="L832" s="206"/>
      <c r="M832" s="139"/>
      <c r="N832" s="139"/>
      <c r="O832" s="139"/>
      <c r="P832" s="139"/>
      <c r="Q832" s="206"/>
      <c r="R832" s="43"/>
    </row>
    <row r="833" spans="1:18" hidden="1">
      <c r="A833" s="30"/>
      <c r="B833" s="30"/>
      <c r="D833" s="30"/>
      <c r="E833" s="30"/>
      <c r="F833" s="30"/>
      <c r="H833" s="30"/>
      <c r="K833" s="206"/>
      <c r="L833" s="206"/>
      <c r="M833" s="139"/>
      <c r="N833" s="139"/>
      <c r="O833" s="139"/>
      <c r="P833" s="139"/>
      <c r="Q833" s="206"/>
      <c r="R833" s="43"/>
    </row>
    <row r="834" spans="1:18" hidden="1">
      <c r="A834" s="30"/>
      <c r="B834" s="30"/>
      <c r="D834" s="30"/>
      <c r="E834" s="30"/>
      <c r="F834" s="30"/>
      <c r="H834" s="30"/>
      <c r="K834" s="206"/>
      <c r="L834" s="206"/>
      <c r="M834" s="139"/>
      <c r="N834" s="139"/>
      <c r="O834" s="139"/>
      <c r="P834" s="139"/>
      <c r="Q834" s="206"/>
      <c r="R834" s="43"/>
    </row>
    <row r="835" spans="1:18" hidden="1">
      <c r="A835" s="30"/>
      <c r="B835" s="30"/>
      <c r="D835" s="30"/>
      <c r="E835" s="30"/>
      <c r="F835" s="30"/>
      <c r="H835" s="30"/>
      <c r="K835" s="206"/>
      <c r="L835" s="206"/>
      <c r="M835" s="139"/>
      <c r="N835" s="139"/>
      <c r="O835" s="139"/>
      <c r="P835" s="139"/>
      <c r="Q835" s="206"/>
      <c r="R835" s="43"/>
    </row>
    <row r="836" spans="1:18" hidden="1">
      <c r="A836" s="30"/>
      <c r="B836" s="30"/>
      <c r="D836" s="30"/>
      <c r="E836" s="30"/>
      <c r="F836" s="30"/>
      <c r="H836" s="30"/>
      <c r="K836" s="206"/>
      <c r="L836" s="206"/>
      <c r="M836" s="139"/>
      <c r="N836" s="139"/>
      <c r="O836" s="139"/>
      <c r="P836" s="139"/>
      <c r="Q836" s="206"/>
      <c r="R836" s="43"/>
    </row>
    <row r="837" spans="1:18" hidden="1">
      <c r="A837" s="30"/>
      <c r="B837" s="30"/>
      <c r="D837" s="30"/>
      <c r="E837" s="30"/>
      <c r="F837" s="30"/>
      <c r="H837" s="30"/>
      <c r="K837" s="206"/>
      <c r="L837" s="206"/>
      <c r="M837" s="139"/>
      <c r="N837" s="139"/>
      <c r="O837" s="139"/>
      <c r="P837" s="139"/>
      <c r="Q837" s="206"/>
      <c r="R837" s="43"/>
    </row>
    <row r="838" spans="1:18" hidden="1">
      <c r="A838" s="30"/>
      <c r="B838" s="30"/>
      <c r="D838" s="30"/>
      <c r="E838" s="30"/>
      <c r="F838" s="30"/>
      <c r="H838" s="30"/>
      <c r="K838" s="206"/>
      <c r="L838" s="206"/>
      <c r="M838" s="139"/>
      <c r="N838" s="139"/>
      <c r="O838" s="139"/>
      <c r="P838" s="139"/>
      <c r="Q838" s="206"/>
      <c r="R838" s="43"/>
    </row>
    <row r="839" spans="1:18" hidden="1">
      <c r="A839" s="30"/>
      <c r="B839" s="30"/>
      <c r="D839" s="30"/>
      <c r="E839" s="30"/>
      <c r="F839" s="30"/>
      <c r="H839" s="30"/>
      <c r="K839" s="206"/>
      <c r="L839" s="206"/>
      <c r="M839" s="139"/>
      <c r="N839" s="139"/>
      <c r="O839" s="139"/>
      <c r="P839" s="139"/>
      <c r="Q839" s="206"/>
      <c r="R839" s="43"/>
    </row>
    <row r="840" spans="1:18" hidden="1">
      <c r="A840" s="30"/>
      <c r="B840" s="30"/>
      <c r="D840" s="30"/>
      <c r="E840" s="30"/>
      <c r="F840" s="30"/>
      <c r="H840" s="30"/>
      <c r="K840" s="206"/>
      <c r="L840" s="206"/>
      <c r="M840" s="139"/>
      <c r="N840" s="139"/>
      <c r="O840" s="139"/>
      <c r="P840" s="139"/>
      <c r="Q840" s="206"/>
      <c r="R840" s="43"/>
    </row>
    <row r="841" spans="1:18" hidden="1">
      <c r="A841" s="30"/>
      <c r="B841" s="30"/>
      <c r="D841" s="30"/>
      <c r="E841" s="30"/>
      <c r="F841" s="30"/>
      <c r="H841" s="30"/>
      <c r="K841" s="206"/>
      <c r="L841" s="206"/>
      <c r="M841" s="139"/>
      <c r="N841" s="139"/>
      <c r="O841" s="139"/>
      <c r="P841" s="139"/>
      <c r="Q841" s="206"/>
      <c r="R841" s="43"/>
    </row>
    <row r="842" spans="1:18" hidden="1">
      <c r="A842" s="30"/>
      <c r="B842" s="30"/>
      <c r="D842" s="30"/>
      <c r="E842" s="30"/>
      <c r="F842" s="30"/>
      <c r="H842" s="30"/>
      <c r="K842" s="206"/>
      <c r="L842" s="206"/>
      <c r="M842" s="139"/>
      <c r="N842" s="139"/>
      <c r="O842" s="139"/>
      <c r="P842" s="139"/>
      <c r="Q842" s="206"/>
      <c r="R842" s="43"/>
    </row>
    <row r="843" spans="1:18" hidden="1">
      <c r="A843" s="30"/>
      <c r="B843" s="30"/>
      <c r="D843" s="30"/>
      <c r="E843" s="30"/>
      <c r="F843" s="30"/>
      <c r="H843" s="30"/>
      <c r="K843" s="206"/>
      <c r="L843" s="206"/>
      <c r="M843" s="139"/>
      <c r="N843" s="139"/>
      <c r="O843" s="139"/>
      <c r="P843" s="139"/>
      <c r="Q843" s="206"/>
      <c r="R843" s="43"/>
    </row>
    <row r="844" spans="1:18" hidden="1">
      <c r="A844" s="30"/>
      <c r="B844" s="30"/>
      <c r="D844" s="30"/>
      <c r="E844" s="30"/>
      <c r="F844" s="30"/>
      <c r="H844" s="30"/>
      <c r="K844" s="206"/>
      <c r="L844" s="206"/>
      <c r="M844" s="139"/>
      <c r="N844" s="139"/>
      <c r="O844" s="139"/>
      <c r="P844" s="139"/>
      <c r="Q844" s="206"/>
      <c r="R844" s="43"/>
    </row>
    <row r="845" spans="1:18" hidden="1">
      <c r="A845" s="30"/>
      <c r="B845" s="30"/>
      <c r="D845" s="30"/>
      <c r="E845" s="30"/>
      <c r="F845" s="30"/>
      <c r="H845" s="30"/>
      <c r="I845" s="43"/>
      <c r="K845" s="206"/>
      <c r="L845" s="206"/>
      <c r="M845" s="139"/>
      <c r="N845" s="139"/>
      <c r="O845" s="139"/>
      <c r="P845" s="139"/>
      <c r="Q845" s="266"/>
      <c r="R845" s="43"/>
    </row>
    <row r="846" spans="1:18" hidden="1">
      <c r="A846" s="30"/>
      <c r="B846" s="30"/>
      <c r="D846" s="30"/>
      <c r="E846" s="30"/>
      <c r="F846" s="30"/>
      <c r="H846" s="30"/>
      <c r="I846" s="43"/>
      <c r="J846" s="73"/>
      <c r="K846" s="266"/>
      <c r="L846" s="266"/>
      <c r="M846" s="266"/>
      <c r="N846" s="266"/>
      <c r="O846" s="266"/>
      <c r="P846" s="266"/>
      <c r="Q846" s="139"/>
      <c r="R846" s="43"/>
    </row>
    <row r="847" spans="1:18" hidden="1">
      <c r="A847" s="30"/>
      <c r="B847" s="30"/>
      <c r="D847" s="30"/>
      <c r="E847" s="30"/>
      <c r="F847" s="30"/>
      <c r="H847" s="30"/>
      <c r="I847" s="43"/>
      <c r="J847" s="43"/>
      <c r="K847" s="139"/>
      <c r="L847" s="139"/>
      <c r="M847" s="139"/>
      <c r="N847" s="139"/>
      <c r="O847" s="139"/>
      <c r="P847" s="139"/>
      <c r="Q847" s="139"/>
      <c r="R847" s="43"/>
    </row>
    <row r="848" spans="1:18" hidden="1">
      <c r="A848" s="30"/>
      <c r="B848" s="30"/>
      <c r="D848" s="30"/>
      <c r="E848" s="30"/>
      <c r="F848" s="30"/>
      <c r="H848" s="30"/>
      <c r="I848" s="43"/>
      <c r="J848" s="43"/>
      <c r="K848" s="139"/>
      <c r="L848" s="139"/>
      <c r="M848" s="139"/>
      <c r="N848" s="139"/>
      <c r="O848" s="139"/>
      <c r="P848" s="139"/>
      <c r="Q848" s="139"/>
      <c r="R848" s="43"/>
    </row>
    <row r="849" spans="1:18" hidden="1">
      <c r="A849" s="30"/>
      <c r="B849" s="30"/>
      <c r="D849" s="30"/>
      <c r="E849" s="30"/>
      <c r="F849" s="30"/>
      <c r="H849" s="30"/>
      <c r="I849" s="43"/>
      <c r="J849" s="43"/>
      <c r="K849" s="139"/>
      <c r="L849" s="139"/>
      <c r="M849" s="139"/>
      <c r="N849" s="139"/>
      <c r="O849" s="139"/>
      <c r="P849" s="139"/>
      <c r="Q849" s="139"/>
      <c r="R849" s="43"/>
    </row>
    <row r="850" spans="1:18" hidden="1">
      <c r="A850" s="30"/>
      <c r="B850" s="30"/>
      <c r="D850" s="30"/>
      <c r="E850" s="30"/>
      <c r="F850" s="30"/>
      <c r="H850" s="30"/>
      <c r="I850" s="43"/>
      <c r="J850" s="43"/>
      <c r="K850" s="139"/>
      <c r="L850" s="139"/>
      <c r="M850" s="139"/>
      <c r="N850" s="139"/>
      <c r="O850" s="139"/>
      <c r="P850" s="139"/>
      <c r="Q850" s="139"/>
      <c r="R850" s="43"/>
    </row>
    <row r="851" spans="1:18" hidden="1">
      <c r="A851" s="30"/>
      <c r="B851" s="30"/>
      <c r="D851" s="30"/>
      <c r="E851" s="30"/>
      <c r="F851" s="30"/>
      <c r="H851" s="30"/>
      <c r="I851" s="43"/>
      <c r="J851" s="43"/>
      <c r="K851" s="139"/>
      <c r="L851" s="139"/>
      <c r="M851" s="139"/>
      <c r="N851" s="139"/>
      <c r="O851" s="139"/>
      <c r="P851" s="139"/>
      <c r="Q851" s="139"/>
      <c r="R851" s="43"/>
    </row>
    <row r="852" spans="1:18" hidden="1">
      <c r="A852" s="30"/>
      <c r="B852" s="30"/>
      <c r="D852" s="30"/>
      <c r="E852" s="30"/>
      <c r="F852" s="30"/>
      <c r="H852" s="30"/>
      <c r="I852" s="43"/>
      <c r="J852" s="43"/>
      <c r="K852" s="139"/>
      <c r="L852" s="139"/>
      <c r="M852" s="139"/>
      <c r="N852" s="139"/>
      <c r="O852" s="139"/>
      <c r="P852" s="139"/>
      <c r="Q852" s="139"/>
      <c r="R852" s="43"/>
    </row>
    <row r="853" spans="1:18" hidden="1">
      <c r="A853" s="30"/>
      <c r="B853" s="30"/>
      <c r="D853" s="30"/>
      <c r="E853" s="30"/>
      <c r="F853" s="30"/>
      <c r="H853" s="30"/>
      <c r="I853" s="43"/>
      <c r="J853" s="43"/>
      <c r="K853" s="139"/>
      <c r="L853" s="139"/>
      <c r="M853" s="139"/>
      <c r="N853" s="139"/>
      <c r="O853" s="139"/>
      <c r="P853" s="139"/>
      <c r="Q853" s="139"/>
      <c r="R853" s="43"/>
    </row>
    <row r="854" spans="1:18" hidden="1">
      <c r="A854" s="30"/>
      <c r="B854" s="30"/>
      <c r="D854" s="30"/>
      <c r="E854" s="30"/>
      <c r="F854" s="30"/>
      <c r="H854" s="30"/>
      <c r="I854" s="43"/>
      <c r="J854" s="43"/>
      <c r="K854" s="139"/>
      <c r="L854" s="139"/>
      <c r="M854" s="139"/>
      <c r="N854" s="139"/>
      <c r="O854" s="139"/>
      <c r="P854" s="139"/>
      <c r="Q854" s="206"/>
      <c r="R854" s="43"/>
    </row>
    <row r="855" spans="1:18" hidden="1">
      <c r="A855" s="30"/>
      <c r="B855" s="30"/>
      <c r="D855" s="30"/>
      <c r="E855" s="30"/>
      <c r="F855" s="30"/>
      <c r="H855" s="30"/>
      <c r="I855" s="43"/>
      <c r="K855" s="206"/>
      <c r="L855" s="206"/>
      <c r="M855" s="139"/>
      <c r="N855" s="139"/>
      <c r="O855" s="139"/>
      <c r="P855" s="139"/>
      <c r="Q855" s="206"/>
      <c r="R855" s="43"/>
    </row>
    <row r="856" spans="1:18" hidden="1">
      <c r="A856" s="30"/>
      <c r="B856" s="30"/>
      <c r="D856" s="30"/>
      <c r="E856" s="30"/>
      <c r="F856" s="30"/>
      <c r="H856" s="30"/>
      <c r="I856" s="43"/>
      <c r="K856" s="206"/>
      <c r="L856" s="206"/>
      <c r="M856" s="139"/>
      <c r="N856" s="139"/>
      <c r="O856" s="139"/>
      <c r="P856" s="139"/>
      <c r="Q856" s="206"/>
      <c r="R856" s="43"/>
    </row>
    <row r="857" spans="1:18" hidden="1">
      <c r="A857" s="30"/>
      <c r="B857" s="30"/>
      <c r="D857" s="30"/>
      <c r="E857" s="30"/>
      <c r="F857" s="30"/>
      <c r="H857" s="30"/>
      <c r="I857" s="43"/>
      <c r="K857" s="206"/>
      <c r="L857" s="206"/>
      <c r="M857" s="139"/>
      <c r="N857" s="139"/>
      <c r="O857" s="139"/>
      <c r="P857" s="139"/>
      <c r="Q857" s="206"/>
      <c r="R857" s="43"/>
    </row>
    <row r="858" spans="1:18" hidden="1">
      <c r="A858" s="30"/>
      <c r="B858" s="30"/>
      <c r="D858" s="30"/>
      <c r="E858" s="30"/>
      <c r="F858" s="30"/>
      <c r="H858" s="30"/>
      <c r="I858" s="43"/>
      <c r="K858" s="206"/>
      <c r="L858" s="206"/>
      <c r="M858" s="139"/>
      <c r="N858" s="139"/>
      <c r="O858" s="139"/>
      <c r="P858" s="139"/>
      <c r="Q858" s="206"/>
      <c r="R858" s="43"/>
    </row>
    <row r="859" spans="1:18" hidden="1">
      <c r="A859" s="30"/>
      <c r="B859" s="30"/>
      <c r="D859" s="30"/>
      <c r="E859" s="30"/>
      <c r="F859" s="30"/>
      <c r="H859" s="30"/>
      <c r="K859" s="206"/>
      <c r="L859" s="206"/>
      <c r="M859" s="139"/>
      <c r="N859" s="139"/>
      <c r="O859" s="139"/>
      <c r="P859" s="139"/>
      <c r="Q859" s="206"/>
      <c r="R859" s="43"/>
    </row>
    <row r="860" spans="1:18" hidden="1">
      <c r="A860" s="30"/>
      <c r="B860" s="30"/>
      <c r="D860" s="30"/>
      <c r="E860" s="30"/>
      <c r="F860" s="30"/>
      <c r="H860" s="30"/>
      <c r="K860" s="206"/>
      <c r="L860" s="206"/>
      <c r="M860" s="139"/>
      <c r="N860" s="139"/>
      <c r="O860" s="139"/>
      <c r="P860" s="139"/>
      <c r="Q860" s="206"/>
      <c r="R860" s="43"/>
    </row>
    <row r="861" spans="1:18" hidden="1">
      <c r="A861" s="30"/>
      <c r="B861" s="30"/>
      <c r="D861" s="30"/>
      <c r="E861" s="30"/>
      <c r="F861" s="30"/>
      <c r="H861" s="30"/>
      <c r="K861" s="206"/>
      <c r="L861" s="206"/>
      <c r="M861" s="139"/>
      <c r="N861" s="139"/>
      <c r="O861" s="139"/>
      <c r="P861" s="139"/>
      <c r="Q861" s="206"/>
      <c r="R861" s="43"/>
    </row>
    <row r="862" spans="1:18" hidden="1">
      <c r="A862" s="30"/>
      <c r="B862" s="30"/>
      <c r="D862" s="30"/>
      <c r="E862" s="30"/>
      <c r="F862" s="30"/>
      <c r="H862" s="30"/>
      <c r="K862" s="206"/>
      <c r="L862" s="206"/>
      <c r="M862" s="139"/>
      <c r="N862" s="139"/>
      <c r="O862" s="139"/>
      <c r="P862" s="139"/>
      <c r="Q862" s="206"/>
      <c r="R862" s="43"/>
    </row>
    <row r="863" spans="1:18" hidden="1">
      <c r="A863" s="30"/>
      <c r="B863" s="30"/>
      <c r="D863" s="30"/>
      <c r="E863" s="30"/>
      <c r="F863" s="30"/>
      <c r="H863" s="30"/>
      <c r="K863" s="206"/>
      <c r="L863" s="206"/>
      <c r="M863" s="139"/>
      <c r="N863" s="139"/>
      <c r="O863" s="139"/>
      <c r="P863" s="139"/>
      <c r="Q863" s="206"/>
      <c r="R863" s="43"/>
    </row>
    <row r="864" spans="1:18" hidden="1">
      <c r="A864" s="30"/>
      <c r="B864" s="30"/>
      <c r="D864" s="30"/>
      <c r="E864" s="30"/>
      <c r="F864" s="30"/>
      <c r="H864" s="30"/>
      <c r="K864" s="206"/>
      <c r="L864" s="206"/>
      <c r="M864" s="139"/>
      <c r="N864" s="139"/>
      <c r="O864" s="139"/>
      <c r="P864" s="139"/>
      <c r="Q864" s="206"/>
      <c r="R864" s="43"/>
    </row>
    <row r="865" spans="1:18" hidden="1">
      <c r="A865" s="30"/>
      <c r="B865" s="30"/>
      <c r="D865" s="30"/>
      <c r="E865" s="30"/>
      <c r="F865" s="30"/>
      <c r="H865" s="30"/>
      <c r="K865" s="206"/>
      <c r="L865" s="206"/>
      <c r="M865" s="139"/>
      <c r="N865" s="139"/>
      <c r="O865" s="139"/>
      <c r="P865" s="139"/>
      <c r="Q865" s="206"/>
      <c r="R865" s="43"/>
    </row>
    <row r="866" spans="1:18" hidden="1">
      <c r="A866" s="30"/>
      <c r="B866" s="30"/>
      <c r="D866" s="30"/>
      <c r="E866" s="30"/>
      <c r="F866" s="30"/>
      <c r="H866" s="30"/>
      <c r="K866" s="206"/>
      <c r="L866" s="206"/>
      <c r="M866" s="139"/>
      <c r="N866" s="139"/>
      <c r="O866" s="139"/>
      <c r="P866" s="139"/>
      <c r="Q866" s="206"/>
      <c r="R866" s="43"/>
    </row>
    <row r="867" spans="1:18" hidden="1">
      <c r="A867" s="30"/>
      <c r="B867" s="30"/>
      <c r="D867" s="30"/>
      <c r="E867" s="30"/>
      <c r="F867" s="30"/>
      <c r="H867" s="30"/>
      <c r="K867" s="206"/>
      <c r="L867" s="206"/>
      <c r="M867" s="139"/>
      <c r="N867" s="139"/>
      <c r="O867" s="139"/>
      <c r="P867" s="139"/>
      <c r="Q867" s="206"/>
      <c r="R867" s="43"/>
    </row>
    <row r="868" spans="1:18" hidden="1">
      <c r="A868" s="30"/>
      <c r="B868" s="30"/>
      <c r="D868" s="30"/>
      <c r="E868" s="30"/>
      <c r="F868" s="30"/>
      <c r="H868" s="30"/>
      <c r="K868" s="206"/>
      <c r="L868" s="206"/>
      <c r="M868" s="139"/>
      <c r="N868" s="139"/>
      <c r="O868" s="139"/>
      <c r="P868" s="139"/>
      <c r="Q868" s="206"/>
      <c r="R868" s="43"/>
    </row>
    <row r="869" spans="1:18" hidden="1">
      <c r="A869" s="30"/>
      <c r="B869" s="30"/>
      <c r="D869" s="30"/>
      <c r="E869" s="30"/>
      <c r="F869" s="30"/>
      <c r="H869" s="30"/>
      <c r="K869" s="206"/>
      <c r="L869" s="206"/>
      <c r="M869" s="139"/>
      <c r="N869" s="139"/>
      <c r="O869" s="139"/>
      <c r="P869" s="139"/>
      <c r="Q869" s="206"/>
      <c r="R869" s="43"/>
    </row>
    <row r="870" spans="1:18" hidden="1">
      <c r="A870" s="30"/>
      <c r="B870" s="30"/>
      <c r="D870" s="30"/>
      <c r="E870" s="30"/>
      <c r="F870" s="30"/>
      <c r="H870" s="30"/>
      <c r="K870" s="206"/>
      <c r="L870" s="206"/>
      <c r="M870" s="139"/>
      <c r="N870" s="139"/>
      <c r="O870" s="139"/>
      <c r="P870" s="139"/>
      <c r="Q870" s="206"/>
      <c r="R870" s="43"/>
    </row>
    <row r="871" spans="1:18" hidden="1">
      <c r="A871" s="30"/>
      <c r="B871" s="30"/>
      <c r="D871" s="30"/>
      <c r="E871" s="30"/>
      <c r="F871" s="30"/>
      <c r="H871" s="30"/>
      <c r="K871" s="206"/>
      <c r="L871" s="206"/>
      <c r="M871" s="139"/>
      <c r="N871" s="139"/>
      <c r="O871" s="139"/>
      <c r="P871" s="139"/>
      <c r="Q871" s="206"/>
      <c r="R871" s="43"/>
    </row>
    <row r="872" spans="1:18" hidden="1">
      <c r="A872" s="30"/>
      <c r="B872" s="30"/>
      <c r="D872" s="30"/>
      <c r="E872" s="30"/>
      <c r="F872" s="30"/>
      <c r="H872" s="30"/>
      <c r="K872" s="206"/>
      <c r="L872" s="206"/>
      <c r="M872" s="139"/>
      <c r="N872" s="139"/>
      <c r="O872" s="139"/>
      <c r="P872" s="139"/>
      <c r="Q872" s="206"/>
      <c r="R872" s="43"/>
    </row>
    <row r="873" spans="1:18" hidden="1">
      <c r="A873" s="30"/>
      <c r="B873" s="30"/>
      <c r="D873" s="30"/>
      <c r="E873" s="30"/>
      <c r="F873" s="30"/>
      <c r="H873" s="30"/>
      <c r="K873" s="206"/>
      <c r="L873" s="206"/>
      <c r="M873" s="139"/>
      <c r="N873" s="139"/>
      <c r="O873" s="139"/>
      <c r="P873" s="139"/>
      <c r="Q873" s="206"/>
      <c r="R873" s="43"/>
    </row>
    <row r="874" spans="1:18" hidden="1">
      <c r="A874" s="30"/>
      <c r="B874" s="30"/>
      <c r="D874" s="30"/>
      <c r="E874" s="30"/>
      <c r="F874" s="30"/>
      <c r="H874" s="30"/>
      <c r="K874" s="206"/>
      <c r="L874" s="206"/>
      <c r="M874" s="139"/>
      <c r="N874" s="139"/>
      <c r="O874" s="139"/>
      <c r="P874" s="139"/>
      <c r="Q874" s="206"/>
      <c r="R874" s="43"/>
    </row>
    <row r="875" spans="1:18" hidden="1">
      <c r="A875" s="30"/>
      <c r="B875" s="30"/>
      <c r="D875" s="30"/>
      <c r="E875" s="30"/>
      <c r="F875" s="30"/>
      <c r="H875" s="30"/>
      <c r="K875" s="206"/>
      <c r="L875" s="206"/>
      <c r="M875" s="139"/>
      <c r="N875" s="139"/>
      <c r="O875" s="139"/>
      <c r="P875" s="139"/>
      <c r="Q875" s="206"/>
      <c r="R875" s="43"/>
    </row>
    <row r="876" spans="1:18" hidden="1">
      <c r="A876" s="30"/>
      <c r="B876" s="30"/>
      <c r="D876" s="30"/>
      <c r="E876" s="30"/>
      <c r="F876" s="30"/>
      <c r="H876" s="30"/>
      <c r="K876" s="206"/>
      <c r="L876" s="206"/>
      <c r="M876" s="139"/>
      <c r="N876" s="139"/>
      <c r="O876" s="139"/>
      <c r="P876" s="139"/>
      <c r="Q876" s="206"/>
      <c r="R876" s="43"/>
    </row>
    <row r="877" spans="1:18" hidden="1">
      <c r="A877" s="30"/>
      <c r="B877" s="30"/>
      <c r="D877" s="30"/>
      <c r="E877" s="30"/>
      <c r="F877" s="30"/>
      <c r="H877" s="30"/>
      <c r="K877" s="206"/>
      <c r="L877" s="206"/>
      <c r="M877" s="139"/>
      <c r="N877" s="139"/>
      <c r="O877" s="139"/>
      <c r="P877" s="139"/>
      <c r="Q877" s="206"/>
      <c r="R877" s="43"/>
    </row>
    <row r="878" spans="1:18" hidden="1">
      <c r="A878" s="30"/>
      <c r="B878" s="30"/>
      <c r="D878" s="30"/>
      <c r="E878" s="30"/>
      <c r="F878" s="30"/>
      <c r="H878" s="30"/>
      <c r="K878" s="206"/>
      <c r="L878" s="206"/>
      <c r="M878" s="139"/>
      <c r="N878" s="139"/>
      <c r="O878" s="139"/>
      <c r="P878" s="139"/>
      <c r="R878" s="43"/>
    </row>
    <row r="879" spans="1:18" hidden="1">
      <c r="A879" s="30"/>
      <c r="B879" s="30"/>
      <c r="D879" s="30"/>
      <c r="E879" s="30"/>
      <c r="F879" s="30"/>
      <c r="H879" s="30"/>
      <c r="J879" s="51"/>
      <c r="R879" s="43"/>
    </row>
    <row r="880" spans="1:18" hidden="1">
      <c r="A880" s="30"/>
      <c r="B880" s="30"/>
      <c r="D880" s="30"/>
      <c r="E880" s="30"/>
      <c r="F880" s="30"/>
      <c r="H880" s="30"/>
      <c r="J880" s="51"/>
      <c r="R880" s="43"/>
    </row>
    <row r="881" spans="1:18" hidden="1">
      <c r="A881" s="30"/>
      <c r="B881" s="30"/>
      <c r="D881" s="30"/>
      <c r="E881" s="30"/>
      <c r="F881" s="30"/>
      <c r="H881" s="30"/>
      <c r="J881" s="51"/>
      <c r="R881" s="43"/>
    </row>
    <row r="882" spans="1:18" hidden="1">
      <c r="A882" s="30"/>
      <c r="B882" s="30"/>
      <c r="D882" s="30"/>
      <c r="E882" s="30"/>
      <c r="F882" s="30"/>
      <c r="H882" s="30"/>
      <c r="J882" s="51"/>
      <c r="R882" s="43"/>
    </row>
    <row r="883" spans="1:18" hidden="1">
      <c r="A883" s="30"/>
      <c r="B883" s="30"/>
      <c r="D883" s="30"/>
      <c r="E883" s="30"/>
      <c r="F883" s="30"/>
      <c r="H883" s="30"/>
      <c r="J883" s="51"/>
      <c r="R883" s="43"/>
    </row>
    <row r="884" spans="1:18" hidden="1">
      <c r="A884" s="30"/>
      <c r="B884" s="30"/>
      <c r="D884" s="30"/>
      <c r="E884" s="30"/>
      <c r="F884" s="30"/>
      <c r="H884" s="30"/>
      <c r="J884" s="51"/>
      <c r="R884" s="43"/>
    </row>
    <row r="885" spans="1:18" hidden="1">
      <c r="A885" s="30"/>
      <c r="B885" s="30"/>
      <c r="D885" s="30"/>
      <c r="E885" s="30"/>
      <c r="F885" s="30"/>
      <c r="H885" s="30"/>
      <c r="J885" s="51"/>
      <c r="R885" s="43"/>
    </row>
    <row r="886" spans="1:18">
      <c r="A886" s="30"/>
      <c r="B886" s="30"/>
      <c r="C886" s="30"/>
      <c r="D886" s="30"/>
      <c r="E886" s="30"/>
      <c r="F886" s="30"/>
      <c r="H886" s="30"/>
      <c r="M886" s="30"/>
      <c r="N886" s="30"/>
      <c r="O886" s="30"/>
      <c r="P886" s="30"/>
      <c r="Q886" s="206"/>
      <c r="R886" s="43"/>
    </row>
    <row r="887" spans="1:18">
      <c r="A887" s="30"/>
      <c r="B887" s="30"/>
      <c r="C887" s="30"/>
      <c r="D887" s="30"/>
      <c r="E887" s="30"/>
      <c r="F887" s="30"/>
      <c r="H887" s="30"/>
      <c r="M887" s="30"/>
      <c r="N887" s="30"/>
      <c r="O887" s="30"/>
      <c r="P887" s="30"/>
      <c r="Q887" s="206"/>
      <c r="R887" s="43"/>
    </row>
    <row r="888" spans="1:18">
      <c r="A888" s="30"/>
      <c r="B888" s="30"/>
      <c r="C888" s="30"/>
      <c r="D888" s="30"/>
      <c r="E888" s="30"/>
      <c r="F888" s="30"/>
      <c r="H888" s="30"/>
      <c r="M888" s="30"/>
      <c r="N888" s="30"/>
      <c r="O888" s="30"/>
      <c r="P888" s="30"/>
      <c r="Q888" s="206"/>
      <c r="R888" s="43"/>
    </row>
    <row r="889" spans="1:18">
      <c r="A889" s="30"/>
      <c r="B889" s="30"/>
      <c r="C889" s="30"/>
      <c r="D889" s="30"/>
      <c r="E889" s="30"/>
      <c r="F889" s="30"/>
      <c r="H889" s="30"/>
      <c r="M889" s="30"/>
      <c r="N889" s="139"/>
      <c r="O889" s="139"/>
      <c r="P889" s="139"/>
      <c r="Q889" s="206"/>
      <c r="R889" s="43"/>
    </row>
    <row r="890" spans="1:18">
      <c r="A890" s="30"/>
      <c r="B890" s="30"/>
      <c r="C890" s="30"/>
      <c r="D890" s="30"/>
      <c r="E890" s="30"/>
      <c r="F890" s="30"/>
      <c r="H890" s="30"/>
      <c r="M890" s="30"/>
      <c r="N890" s="139"/>
      <c r="O890" s="139"/>
      <c r="P890" s="139"/>
      <c r="Q890" s="206"/>
      <c r="R890" s="43"/>
    </row>
    <row r="891" spans="1:18">
      <c r="A891" s="84"/>
      <c r="E891" s="94"/>
      <c r="K891" s="206"/>
      <c r="L891" s="206"/>
      <c r="M891" s="139"/>
      <c r="N891" s="139"/>
      <c r="O891" s="139"/>
      <c r="P891" s="139"/>
      <c r="Q891" s="206"/>
      <c r="R891" s="43"/>
    </row>
    <row r="892" spans="1:18">
      <c r="A892" s="84"/>
      <c r="E892" s="94"/>
      <c r="K892" s="206"/>
      <c r="L892" s="206"/>
      <c r="M892" s="139"/>
      <c r="N892" s="139"/>
      <c r="O892" s="139"/>
      <c r="P892" s="139"/>
      <c r="Q892" s="139"/>
      <c r="R892" s="43"/>
    </row>
    <row r="893" spans="1:18">
      <c r="A893" s="84"/>
      <c r="E893" s="94"/>
      <c r="J893" s="43"/>
      <c r="K893" s="139"/>
      <c r="L893" s="139"/>
      <c r="M893" s="139"/>
      <c r="N893" s="139"/>
      <c r="O893" s="139"/>
      <c r="P893" s="139"/>
      <c r="Q893" s="139"/>
      <c r="R893" s="43"/>
    </row>
    <row r="894" spans="1:18">
      <c r="A894" s="84"/>
      <c r="E894" s="94"/>
      <c r="J894" s="43"/>
      <c r="K894" s="139"/>
      <c r="L894" s="139"/>
      <c r="M894" s="139"/>
      <c r="N894" s="139"/>
      <c r="O894" s="139"/>
      <c r="P894" s="139"/>
      <c r="Q894" s="139"/>
      <c r="R894" s="43"/>
    </row>
    <row r="895" spans="1:18">
      <c r="A895" s="84"/>
      <c r="E895" s="94"/>
      <c r="J895" s="43"/>
      <c r="K895" s="139"/>
      <c r="L895" s="139"/>
      <c r="M895" s="139"/>
      <c r="N895" s="139"/>
      <c r="O895" s="139"/>
      <c r="P895" s="139"/>
      <c r="Q895" s="139"/>
      <c r="R895" s="43"/>
    </row>
    <row r="896" spans="1:18">
      <c r="A896" s="84"/>
      <c r="E896" s="94"/>
      <c r="J896" s="43"/>
      <c r="K896" s="139"/>
      <c r="L896" s="139"/>
      <c r="M896" s="139"/>
      <c r="N896" s="139"/>
      <c r="O896" s="139"/>
      <c r="P896" s="139"/>
      <c r="Q896" s="139"/>
      <c r="R896" s="43"/>
    </row>
    <row r="897" spans="1:18">
      <c r="A897" s="84"/>
      <c r="E897" s="94"/>
      <c r="J897" s="43"/>
      <c r="K897" s="139"/>
      <c r="L897" s="139"/>
      <c r="M897" s="139"/>
      <c r="N897" s="139"/>
      <c r="O897" s="139"/>
      <c r="P897" s="139"/>
      <c r="Q897" s="139"/>
      <c r="R897" s="43"/>
    </row>
    <row r="898" spans="1:18">
      <c r="A898" s="84"/>
      <c r="E898" s="94"/>
      <c r="J898" s="43"/>
      <c r="K898" s="139"/>
      <c r="L898" s="139"/>
      <c r="M898" s="139"/>
      <c r="N898" s="139"/>
      <c r="O898" s="139"/>
      <c r="P898" s="139"/>
      <c r="Q898" s="139"/>
      <c r="R898" s="43"/>
    </row>
    <row r="899" spans="1:18">
      <c r="A899" s="84"/>
      <c r="E899" s="94"/>
      <c r="J899" s="43"/>
      <c r="K899" s="139"/>
      <c r="L899" s="139"/>
      <c r="M899" s="139"/>
      <c r="N899" s="139"/>
      <c r="O899" s="139"/>
      <c r="P899" s="139"/>
      <c r="Q899" s="139"/>
      <c r="R899" s="43"/>
    </row>
    <row r="900" spans="1:18">
      <c r="A900" s="84"/>
      <c r="E900" s="94"/>
      <c r="J900" s="43"/>
      <c r="K900" s="139"/>
      <c r="L900" s="139"/>
      <c r="M900" s="139"/>
      <c r="N900" s="139"/>
      <c r="O900" s="139"/>
      <c r="P900" s="139"/>
      <c r="Q900" s="139"/>
      <c r="R900" s="43"/>
    </row>
    <row r="901" spans="1:18">
      <c r="A901" s="84"/>
      <c r="E901" s="94"/>
      <c r="J901" s="43"/>
      <c r="K901" s="139"/>
      <c r="L901" s="139"/>
      <c r="M901" s="139"/>
      <c r="N901" s="139"/>
      <c r="O901" s="139"/>
      <c r="P901" s="139"/>
      <c r="Q901" s="139"/>
      <c r="R901" s="43"/>
    </row>
    <row r="902" spans="1:18">
      <c r="A902" s="84"/>
      <c r="E902" s="94"/>
      <c r="J902" s="43"/>
      <c r="K902" s="139"/>
      <c r="L902" s="139"/>
      <c r="M902" s="139"/>
      <c r="N902" s="139"/>
      <c r="O902" s="139"/>
      <c r="P902" s="139"/>
      <c r="Q902" s="139"/>
      <c r="R902" s="43"/>
    </row>
    <row r="903" spans="1:18">
      <c r="A903" s="84"/>
      <c r="E903" s="94"/>
      <c r="J903" s="43"/>
      <c r="K903" s="139"/>
      <c r="L903" s="139"/>
      <c r="M903" s="139"/>
      <c r="N903" s="139"/>
      <c r="O903" s="139"/>
      <c r="P903" s="139"/>
      <c r="Q903" s="139"/>
      <c r="R903" s="43"/>
    </row>
    <row r="904" spans="1:18">
      <c r="A904" s="84"/>
      <c r="E904" s="94"/>
      <c r="J904" s="43"/>
      <c r="K904" s="139"/>
      <c r="L904" s="139"/>
      <c r="M904" s="139"/>
      <c r="N904" s="139"/>
      <c r="O904" s="139"/>
      <c r="P904" s="139"/>
      <c r="Q904" s="139"/>
      <c r="R904" s="43"/>
    </row>
    <row r="905" spans="1:18">
      <c r="A905" s="84"/>
      <c r="E905" s="94"/>
      <c r="J905" s="43"/>
      <c r="K905" s="139"/>
      <c r="L905" s="139"/>
      <c r="M905" s="139"/>
      <c r="N905" s="139"/>
      <c r="O905" s="139"/>
      <c r="P905" s="139"/>
      <c r="Q905" s="139"/>
      <c r="R905" s="43"/>
    </row>
    <row r="906" spans="1:18">
      <c r="A906" s="84"/>
      <c r="E906" s="94"/>
      <c r="J906" s="43"/>
      <c r="K906" s="139"/>
      <c r="L906" s="139"/>
      <c r="M906" s="139"/>
      <c r="N906" s="139"/>
      <c r="O906" s="139"/>
      <c r="P906" s="139"/>
      <c r="Q906" s="139"/>
      <c r="R906" s="43"/>
    </row>
    <row r="907" spans="1:18">
      <c r="A907" s="84"/>
      <c r="E907" s="94"/>
      <c r="J907" s="43"/>
      <c r="K907" s="139"/>
      <c r="L907" s="139"/>
      <c r="M907" s="139"/>
      <c r="N907" s="139"/>
      <c r="O907" s="139"/>
      <c r="P907" s="139"/>
      <c r="Q907" s="139"/>
      <c r="R907" s="43"/>
    </row>
    <row r="908" spans="1:18">
      <c r="A908" s="84"/>
      <c r="E908" s="94"/>
      <c r="J908" s="43"/>
      <c r="K908" s="139"/>
      <c r="L908" s="139"/>
      <c r="M908" s="139"/>
      <c r="N908" s="139"/>
      <c r="O908" s="139"/>
      <c r="P908" s="139"/>
      <c r="Q908" s="139"/>
      <c r="R908" s="43"/>
    </row>
    <row r="909" spans="1:18">
      <c r="A909" s="84"/>
      <c r="E909" s="94"/>
      <c r="J909" s="43"/>
      <c r="K909" s="139"/>
      <c r="L909" s="139"/>
      <c r="M909" s="139"/>
      <c r="N909" s="139"/>
      <c r="O909" s="139"/>
      <c r="P909" s="139"/>
      <c r="Q909" s="139"/>
      <c r="R909" s="43"/>
    </row>
    <row r="910" spans="1:18">
      <c r="A910" s="84"/>
      <c r="E910" s="94"/>
      <c r="J910" s="43"/>
      <c r="K910" s="139"/>
      <c r="L910" s="139"/>
      <c r="M910" s="139"/>
      <c r="N910" s="139"/>
      <c r="O910" s="139"/>
      <c r="P910" s="139"/>
      <c r="Q910" s="139"/>
    </row>
    <row r="911" spans="1:18">
      <c r="A911" s="84"/>
      <c r="E911" s="94"/>
      <c r="J911" s="43"/>
      <c r="K911" s="139"/>
      <c r="L911" s="139"/>
      <c r="M911" s="139"/>
      <c r="N911" s="139"/>
      <c r="O911" s="139"/>
      <c r="P911" s="139"/>
      <c r="Q911" s="139"/>
    </row>
    <row r="912" spans="1:18">
      <c r="A912" s="84"/>
      <c r="E912" s="94"/>
      <c r="J912" s="43"/>
      <c r="K912" s="139"/>
      <c r="L912" s="139"/>
      <c r="M912" s="139"/>
      <c r="N912" s="139"/>
      <c r="O912" s="139"/>
      <c r="P912" s="139"/>
      <c r="Q912" s="139"/>
    </row>
    <row r="913" spans="1:17">
      <c r="A913" s="84"/>
      <c r="E913" s="94"/>
      <c r="J913" s="43"/>
      <c r="K913" s="139"/>
      <c r="L913" s="139"/>
      <c r="M913" s="139"/>
      <c r="N913" s="139"/>
      <c r="O913" s="139"/>
      <c r="P913" s="139"/>
      <c r="Q913" s="139"/>
    </row>
    <row r="914" spans="1:17">
      <c r="A914" s="84"/>
      <c r="E914" s="94"/>
      <c r="J914" s="43"/>
      <c r="K914" s="139"/>
      <c r="L914" s="139"/>
      <c r="M914" s="139"/>
      <c r="N914" s="139"/>
      <c r="O914" s="139"/>
      <c r="P914" s="139"/>
      <c r="Q914" s="139"/>
    </row>
    <row r="915" spans="1:17">
      <c r="A915" s="84"/>
      <c r="E915" s="94"/>
      <c r="J915" s="43"/>
      <c r="K915" s="139"/>
      <c r="L915" s="139"/>
      <c r="M915" s="139"/>
      <c r="N915" s="139"/>
      <c r="O915" s="139"/>
      <c r="P915" s="139"/>
      <c r="Q915" s="139"/>
    </row>
    <row r="916" spans="1:17">
      <c r="A916" s="84"/>
      <c r="E916" s="94"/>
      <c r="J916" s="43"/>
      <c r="K916" s="139"/>
      <c r="L916" s="139"/>
      <c r="M916" s="139"/>
      <c r="N916" s="139"/>
      <c r="O916" s="139"/>
      <c r="P916" s="139"/>
      <c r="Q916" s="139"/>
    </row>
    <row r="917" spans="1:17">
      <c r="A917" s="84"/>
      <c r="E917" s="94"/>
      <c r="J917" s="43"/>
      <c r="K917" s="139"/>
      <c r="L917" s="139"/>
      <c r="M917" s="139"/>
      <c r="N917" s="139"/>
      <c r="O917" s="139"/>
      <c r="P917" s="139"/>
      <c r="Q917" s="139"/>
    </row>
    <row r="918" spans="1:17">
      <c r="A918" s="84"/>
      <c r="E918" s="94"/>
      <c r="J918" s="43"/>
      <c r="K918" s="139"/>
      <c r="L918" s="139"/>
      <c r="M918" s="139"/>
      <c r="N918" s="139"/>
      <c r="O918" s="139"/>
      <c r="P918" s="139"/>
      <c r="Q918" s="139"/>
    </row>
    <row r="919" spans="1:17">
      <c r="A919" s="84"/>
      <c r="E919" s="94"/>
      <c r="J919" s="43"/>
      <c r="K919" s="139"/>
      <c r="L919" s="139"/>
      <c r="M919" s="139"/>
      <c r="N919" s="139"/>
      <c r="O919" s="139"/>
      <c r="P919" s="139"/>
      <c r="Q919" s="139"/>
    </row>
    <row r="920" spans="1:17">
      <c r="A920" s="84"/>
      <c r="E920" s="94"/>
      <c r="J920" s="43"/>
      <c r="K920" s="139"/>
      <c r="L920" s="139"/>
      <c r="M920" s="139"/>
      <c r="N920" s="139"/>
      <c r="O920" s="139"/>
      <c r="P920" s="139"/>
      <c r="Q920" s="139"/>
    </row>
    <row r="921" spans="1:17">
      <c r="A921" s="84"/>
      <c r="E921" s="94"/>
      <c r="J921" s="43"/>
      <c r="K921" s="139"/>
      <c r="L921" s="139"/>
      <c r="M921" s="139"/>
      <c r="N921" s="139"/>
      <c r="O921" s="139"/>
      <c r="P921" s="139"/>
      <c r="Q921" s="139"/>
    </row>
    <row r="922" spans="1:17">
      <c r="A922" s="84"/>
      <c r="E922" s="94"/>
      <c r="J922" s="43"/>
      <c r="K922" s="139"/>
      <c r="L922" s="139"/>
      <c r="M922" s="139"/>
      <c r="N922" s="139"/>
      <c r="O922" s="139"/>
      <c r="P922" s="139"/>
      <c r="Q922" s="139"/>
    </row>
    <row r="923" spans="1:17">
      <c r="A923" s="84"/>
      <c r="E923" s="94"/>
      <c r="J923" s="43"/>
      <c r="K923" s="139"/>
      <c r="L923" s="139"/>
      <c r="M923" s="139"/>
      <c r="N923" s="139"/>
      <c r="O923" s="139"/>
      <c r="P923" s="139"/>
      <c r="Q923" s="139"/>
    </row>
    <row r="924" spans="1:17">
      <c r="A924" s="84"/>
      <c r="E924" s="94"/>
      <c r="J924" s="43"/>
      <c r="K924" s="139"/>
      <c r="L924" s="139"/>
      <c r="M924" s="139"/>
      <c r="N924" s="139"/>
      <c r="O924" s="139"/>
      <c r="P924" s="139"/>
      <c r="Q924" s="139"/>
    </row>
    <row r="925" spans="1:17">
      <c r="A925" s="84"/>
      <c r="E925" s="94"/>
      <c r="J925" s="43"/>
      <c r="K925" s="139"/>
      <c r="L925" s="139"/>
      <c r="M925" s="139"/>
      <c r="N925" s="139"/>
      <c r="O925" s="139"/>
      <c r="P925" s="139"/>
      <c r="Q925" s="139"/>
    </row>
    <row r="926" spans="1:17">
      <c r="A926" s="84"/>
      <c r="E926" s="94"/>
      <c r="J926" s="43"/>
      <c r="K926" s="139"/>
      <c r="L926" s="139"/>
      <c r="M926" s="139"/>
      <c r="N926" s="139"/>
      <c r="O926" s="139"/>
      <c r="P926" s="139"/>
      <c r="Q926" s="139"/>
    </row>
    <row r="927" spans="1:17">
      <c r="A927" s="84"/>
      <c r="E927" s="94"/>
      <c r="J927" s="43"/>
      <c r="K927" s="139"/>
      <c r="L927" s="139"/>
      <c r="M927" s="139"/>
      <c r="N927" s="139"/>
      <c r="O927" s="139"/>
      <c r="P927" s="139"/>
      <c r="Q927" s="139"/>
    </row>
    <row r="928" spans="1:17">
      <c r="A928" s="84"/>
      <c r="E928" s="94"/>
      <c r="J928" s="43"/>
      <c r="K928" s="139"/>
      <c r="L928" s="139"/>
      <c r="M928" s="139"/>
      <c r="N928" s="139"/>
      <c r="O928" s="139"/>
      <c r="P928" s="139"/>
      <c r="Q928" s="139"/>
    </row>
    <row r="929" spans="1:17">
      <c r="A929" s="84"/>
      <c r="E929" s="94"/>
      <c r="J929" s="43"/>
      <c r="K929" s="139"/>
      <c r="L929" s="139"/>
      <c r="M929" s="139"/>
      <c r="N929" s="139"/>
      <c r="O929" s="139"/>
      <c r="P929" s="139"/>
      <c r="Q929" s="139"/>
    </row>
    <row r="930" spans="1:17">
      <c r="A930" s="84"/>
      <c r="E930" s="94"/>
      <c r="J930" s="43"/>
      <c r="K930" s="139"/>
      <c r="L930" s="139"/>
      <c r="M930" s="139"/>
      <c r="N930" s="139"/>
      <c r="O930" s="139"/>
      <c r="P930" s="139"/>
      <c r="Q930" s="139"/>
    </row>
    <row r="931" spans="1:17">
      <c r="A931" s="84"/>
      <c r="E931" s="94"/>
      <c r="J931" s="43"/>
      <c r="K931" s="139"/>
      <c r="L931" s="139"/>
      <c r="M931" s="139"/>
      <c r="N931" s="139"/>
      <c r="O931" s="139"/>
      <c r="P931" s="139"/>
      <c r="Q931" s="139"/>
    </row>
    <row r="932" spans="1:17">
      <c r="A932" s="84"/>
      <c r="E932" s="94"/>
      <c r="J932" s="43"/>
      <c r="K932" s="139"/>
      <c r="L932" s="139"/>
      <c r="M932" s="139"/>
      <c r="N932" s="139"/>
      <c r="O932" s="139"/>
      <c r="P932" s="139"/>
      <c r="Q932" s="139"/>
    </row>
    <row r="933" spans="1:17">
      <c r="A933" s="84"/>
      <c r="E933" s="94"/>
      <c r="J933" s="43"/>
      <c r="K933" s="139"/>
      <c r="L933" s="139"/>
      <c r="M933" s="139"/>
      <c r="N933" s="139"/>
      <c r="O933" s="139"/>
      <c r="P933" s="139"/>
      <c r="Q933" s="139"/>
    </row>
    <row r="934" spans="1:17">
      <c r="A934" s="84"/>
      <c r="E934" s="94"/>
      <c r="J934" s="43"/>
      <c r="K934" s="139"/>
      <c r="L934" s="139"/>
      <c r="M934" s="139"/>
      <c r="N934" s="139"/>
      <c r="O934" s="139"/>
      <c r="P934" s="139"/>
    </row>
    <row r="935" spans="1:17">
      <c r="A935" s="84"/>
      <c r="E935" s="94"/>
    </row>
    <row r="936" spans="1:17">
      <c r="A936" s="84"/>
      <c r="E936" s="94"/>
    </row>
    <row r="937" spans="1:17">
      <c r="A937" s="84"/>
      <c r="E937" s="94"/>
    </row>
    <row r="938" spans="1:17">
      <c r="A938" s="84"/>
      <c r="E938" s="94"/>
    </row>
    <row r="939" spans="1:17">
      <c r="A939" s="95"/>
      <c r="E939" s="94"/>
    </row>
    <row r="940" spans="1:17">
      <c r="A940" s="95"/>
      <c r="E940" s="94"/>
    </row>
    <row r="941" spans="1:17">
      <c r="A941" s="84"/>
      <c r="E941" s="94"/>
    </row>
    <row r="942" spans="1:17">
      <c r="A942" s="84"/>
      <c r="E942" s="94"/>
    </row>
    <row r="943" spans="1:17">
      <c r="A943" s="84"/>
      <c r="E943" s="94"/>
    </row>
    <row r="944" spans="1:17">
      <c r="A944" s="84"/>
      <c r="E944" s="94"/>
    </row>
    <row r="945" spans="1:5">
      <c r="A945" s="84"/>
      <c r="E945" s="94"/>
    </row>
    <row r="946" spans="1:5">
      <c r="A946" s="84"/>
      <c r="E946" s="94"/>
    </row>
    <row r="947" spans="1:5">
      <c r="A947" s="84"/>
      <c r="E947" s="94"/>
    </row>
    <row r="948" spans="1:5">
      <c r="A948" s="84"/>
      <c r="E948" s="94"/>
    </row>
    <row r="949" spans="1:5">
      <c r="A949" s="84"/>
      <c r="E949" s="94"/>
    </row>
    <row r="950" spans="1:5">
      <c r="A950" s="84"/>
      <c r="E950" s="94"/>
    </row>
    <row r="951" spans="1:5">
      <c r="A951" s="84"/>
      <c r="E951" s="94"/>
    </row>
    <row r="952" spans="1:5">
      <c r="A952" s="84"/>
      <c r="E952" s="94"/>
    </row>
    <row r="953" spans="1:5">
      <c r="A953" s="84"/>
      <c r="E953" s="94"/>
    </row>
    <row r="954" spans="1:5">
      <c r="A954" s="84"/>
      <c r="E954" s="94"/>
    </row>
    <row r="955" spans="1:5">
      <c r="A955" s="84"/>
      <c r="E955" s="94"/>
    </row>
    <row r="956" spans="1:5">
      <c r="A956" s="84"/>
      <c r="E956" s="94"/>
    </row>
    <row r="957" spans="1:5">
      <c r="A957" s="84"/>
      <c r="E957" s="94"/>
    </row>
    <row r="958" spans="1:5">
      <c r="A958" s="84"/>
      <c r="E958" s="94"/>
    </row>
    <row r="959" spans="1:5">
      <c r="A959" s="84"/>
      <c r="E959" s="94"/>
    </row>
    <row r="960" spans="1:5">
      <c r="A960" s="84"/>
      <c r="E960" s="94"/>
    </row>
    <row r="961" spans="1:5">
      <c r="A961" s="84"/>
      <c r="E961" s="94"/>
    </row>
    <row r="962" spans="1:5">
      <c r="A962" s="84"/>
      <c r="E962" s="94"/>
    </row>
    <row r="963" spans="1:5">
      <c r="A963" s="84"/>
      <c r="E963" s="94"/>
    </row>
    <row r="964" spans="1:5">
      <c r="A964" s="84"/>
      <c r="E964" s="94"/>
    </row>
    <row r="965" spans="1:5">
      <c r="A965" s="84"/>
      <c r="E965" s="94"/>
    </row>
    <row r="966" spans="1:5">
      <c r="A966" s="84"/>
      <c r="E966" s="94"/>
    </row>
    <row r="967" spans="1:5">
      <c r="A967" s="84"/>
      <c r="E967" s="94"/>
    </row>
    <row r="968" spans="1:5">
      <c r="A968" s="84"/>
      <c r="E968" s="94"/>
    </row>
    <row r="969" spans="1:5">
      <c r="A969" s="84"/>
      <c r="E969" s="94"/>
    </row>
    <row r="970" spans="1:5">
      <c r="A970" s="84"/>
      <c r="E970" s="94"/>
    </row>
    <row r="971" spans="1:5">
      <c r="A971" s="84"/>
      <c r="E971" s="94"/>
    </row>
    <row r="972" spans="1:5">
      <c r="A972" s="84"/>
      <c r="E972" s="94"/>
    </row>
    <row r="973" spans="1:5">
      <c r="A973" s="84"/>
      <c r="E973" s="94"/>
    </row>
    <row r="974" spans="1:5">
      <c r="A974" s="84"/>
      <c r="E974" s="94"/>
    </row>
    <row r="975" spans="1:5">
      <c r="A975" s="84"/>
      <c r="E975" s="94"/>
    </row>
    <row r="976" spans="1:5">
      <c r="A976" s="84"/>
      <c r="E976" s="94"/>
    </row>
    <row r="977" spans="1:5">
      <c r="A977" s="84"/>
      <c r="E977" s="94"/>
    </row>
    <row r="978" spans="1:5">
      <c r="A978" s="84"/>
      <c r="E978" s="94"/>
    </row>
    <row r="979" spans="1:5">
      <c r="A979" s="84"/>
      <c r="E979" s="94"/>
    </row>
    <row r="980" spans="1:5">
      <c r="A980" s="84"/>
      <c r="E980" s="94"/>
    </row>
    <row r="981" spans="1:5">
      <c r="A981" s="84"/>
      <c r="E981" s="94"/>
    </row>
    <row r="982" spans="1:5">
      <c r="A982" s="84"/>
      <c r="E982" s="94"/>
    </row>
    <row r="983" spans="1:5">
      <c r="A983" s="84"/>
      <c r="E983" s="94"/>
    </row>
    <row r="984" spans="1:5">
      <c r="A984" s="84"/>
      <c r="E984" s="94"/>
    </row>
    <row r="985" spans="1:5">
      <c r="A985" s="84"/>
      <c r="E985" s="94"/>
    </row>
    <row r="986" spans="1:5">
      <c r="A986" s="84"/>
      <c r="E986" s="94"/>
    </row>
    <row r="987" spans="1:5">
      <c r="A987" s="84"/>
      <c r="E987" s="94"/>
    </row>
    <row r="988" spans="1:5">
      <c r="A988" s="84"/>
      <c r="E988" s="94"/>
    </row>
    <row r="989" spans="1:5">
      <c r="A989" s="84"/>
      <c r="E989" s="94"/>
    </row>
    <row r="990" spans="1:5">
      <c r="A990" s="84"/>
      <c r="E990" s="94"/>
    </row>
    <row r="991" spans="1:5">
      <c r="A991" s="84"/>
      <c r="E991" s="94"/>
    </row>
    <row r="992" spans="1:5">
      <c r="A992" s="84"/>
      <c r="E992" s="94"/>
    </row>
    <row r="993" spans="1:5">
      <c r="A993" s="84"/>
      <c r="E993" s="94"/>
    </row>
    <row r="994" spans="1:5">
      <c r="A994" s="84"/>
      <c r="E994" s="94"/>
    </row>
    <row r="995" spans="1:5">
      <c r="A995" s="84"/>
      <c r="E995" s="94"/>
    </row>
    <row r="996" spans="1:5">
      <c r="A996" s="84"/>
      <c r="E996" s="94"/>
    </row>
    <row r="997" spans="1:5">
      <c r="A997" s="84"/>
      <c r="E997" s="94"/>
    </row>
    <row r="998" spans="1:5">
      <c r="A998" s="84"/>
      <c r="E998" s="94"/>
    </row>
    <row r="999" spans="1:5">
      <c r="A999" s="84"/>
      <c r="E999" s="94"/>
    </row>
    <row r="1000" spans="1:5">
      <c r="A1000" s="84"/>
      <c r="E1000" s="94"/>
    </row>
    <row r="1001" spans="1:5">
      <c r="A1001" s="84"/>
      <c r="E1001" s="94"/>
    </row>
    <row r="1002" spans="1:5">
      <c r="A1002" s="84"/>
      <c r="E1002" s="94"/>
    </row>
    <row r="1003" spans="1:5">
      <c r="A1003" s="84"/>
      <c r="E1003" s="94"/>
    </row>
    <row r="1004" spans="1:5">
      <c r="A1004" s="84"/>
      <c r="E1004" s="94"/>
    </row>
    <row r="1005" spans="1:5">
      <c r="A1005" s="84"/>
      <c r="E1005" s="94"/>
    </row>
    <row r="1006" spans="1:5">
      <c r="A1006" s="84"/>
      <c r="E1006" s="94"/>
    </row>
    <row r="1007" spans="1:5">
      <c r="A1007" s="84"/>
      <c r="E1007" s="94"/>
    </row>
    <row r="1008" spans="1:5">
      <c r="A1008" s="84"/>
      <c r="E1008" s="94"/>
    </row>
    <row r="1009" spans="1:5">
      <c r="A1009" s="84"/>
      <c r="E1009" s="94"/>
    </row>
    <row r="1010" spans="1:5">
      <c r="A1010" s="84"/>
      <c r="E1010" s="94"/>
    </row>
    <row r="1011" spans="1:5">
      <c r="A1011" s="84"/>
      <c r="E1011" s="94"/>
    </row>
    <row r="1012" spans="1:5">
      <c r="A1012" s="84"/>
      <c r="E1012" s="94"/>
    </row>
    <row r="1013" spans="1:5">
      <c r="A1013" s="84"/>
      <c r="E1013" s="94"/>
    </row>
    <row r="1014" spans="1:5">
      <c r="A1014" s="84"/>
      <c r="E1014" s="94"/>
    </row>
    <row r="1015" spans="1:5">
      <c r="A1015" s="84"/>
      <c r="E1015" s="94"/>
    </row>
    <row r="1016" spans="1:5">
      <c r="A1016" s="84"/>
      <c r="E1016" s="94"/>
    </row>
    <row r="1017" spans="1:5">
      <c r="A1017" s="84"/>
      <c r="E1017" s="94"/>
    </row>
    <row r="1018" spans="1:5">
      <c r="A1018" s="84"/>
      <c r="E1018" s="94"/>
    </row>
    <row r="1019" spans="1:5">
      <c r="A1019" s="84"/>
      <c r="E1019" s="94"/>
    </row>
    <row r="1020" spans="1:5">
      <c r="A1020" s="84"/>
      <c r="E1020" s="94"/>
    </row>
    <row r="1021" spans="1:5">
      <c r="A1021" s="84"/>
      <c r="E1021" s="94"/>
    </row>
    <row r="1022" spans="1:5">
      <c r="A1022" s="84"/>
      <c r="E1022" s="94"/>
    </row>
    <row r="1023" spans="1:5">
      <c r="A1023" s="84"/>
      <c r="E1023" s="94"/>
    </row>
    <row r="1024" spans="1:5">
      <c r="A1024" s="84"/>
      <c r="E1024" s="94"/>
    </row>
    <row r="1025" spans="1:5">
      <c r="A1025" s="84"/>
      <c r="E1025" s="94"/>
    </row>
    <row r="1026" spans="1:5">
      <c r="A1026" s="84"/>
      <c r="E1026" s="94"/>
    </row>
    <row r="1027" spans="1:5">
      <c r="A1027" s="84"/>
      <c r="E1027" s="94"/>
    </row>
    <row r="1028" spans="1:5">
      <c r="A1028" s="84"/>
      <c r="E1028" s="94"/>
    </row>
    <row r="1029" spans="1:5">
      <c r="A1029" s="84"/>
      <c r="E1029" s="94"/>
    </row>
    <row r="1030" spans="1:5">
      <c r="A1030" s="84"/>
      <c r="E1030" s="94"/>
    </row>
    <row r="1031" spans="1:5">
      <c r="A1031" s="84"/>
      <c r="E1031" s="94"/>
    </row>
    <row r="1032" spans="1:5">
      <c r="A1032" s="84"/>
      <c r="E1032" s="94"/>
    </row>
    <row r="1033" spans="1:5">
      <c r="A1033" s="84"/>
      <c r="E1033" s="94"/>
    </row>
    <row r="1034" spans="1:5">
      <c r="A1034" s="84"/>
      <c r="E1034" s="94"/>
    </row>
    <row r="1035" spans="1:5">
      <c r="A1035" s="84"/>
      <c r="E1035" s="94"/>
    </row>
    <row r="1036" spans="1:5">
      <c r="A1036" s="84"/>
      <c r="E1036" s="94"/>
    </row>
    <row r="1037" spans="1:5">
      <c r="A1037" s="84"/>
      <c r="E1037" s="94"/>
    </row>
    <row r="1038" spans="1:5">
      <c r="A1038" s="84"/>
      <c r="E1038" s="94"/>
    </row>
    <row r="1039" spans="1:5">
      <c r="A1039" s="84"/>
      <c r="E1039" s="94"/>
    </row>
    <row r="1040" spans="1:5">
      <c r="A1040" s="84"/>
      <c r="E1040" s="94"/>
    </row>
    <row r="1041" spans="1:5">
      <c r="A1041" s="84"/>
      <c r="E1041" s="94"/>
    </row>
    <row r="1042" spans="1:5">
      <c r="A1042" s="84"/>
      <c r="E1042" s="94"/>
    </row>
    <row r="1043" spans="1:5">
      <c r="A1043" s="84"/>
      <c r="E1043" s="94"/>
    </row>
    <row r="1044" spans="1:5">
      <c r="A1044" s="84"/>
      <c r="E1044" s="94"/>
    </row>
    <row r="1045" spans="1:5">
      <c r="A1045" s="84"/>
      <c r="E1045" s="94"/>
    </row>
    <row r="1046" spans="1:5">
      <c r="A1046" s="84"/>
      <c r="E1046" s="94"/>
    </row>
    <row r="1047" spans="1:5">
      <c r="A1047" s="84"/>
      <c r="E1047" s="94"/>
    </row>
    <row r="1048" spans="1:5">
      <c r="A1048" s="84"/>
      <c r="E1048" s="94"/>
    </row>
    <row r="1049" spans="1:5">
      <c r="A1049" s="84"/>
      <c r="E1049" s="94"/>
    </row>
    <row r="1050" spans="1:5">
      <c r="A1050" s="84"/>
      <c r="E1050" s="94"/>
    </row>
    <row r="1051" spans="1:5">
      <c r="A1051" s="84"/>
      <c r="E1051" s="94"/>
    </row>
    <row r="1052" spans="1:5">
      <c r="A1052" s="84"/>
      <c r="E1052" s="94"/>
    </row>
    <row r="1053" spans="1:5">
      <c r="A1053" s="84"/>
      <c r="E1053" s="94"/>
    </row>
    <row r="1054" spans="1:5">
      <c r="A1054" s="84"/>
      <c r="E1054" s="94"/>
    </row>
    <row r="1055" spans="1:5">
      <c r="A1055" s="84"/>
      <c r="E1055" s="94"/>
    </row>
    <row r="1056" spans="1:5">
      <c r="A1056" s="84"/>
      <c r="E1056" s="94"/>
    </row>
    <row r="1057" spans="1:5">
      <c r="A1057" s="84"/>
      <c r="E1057" s="94"/>
    </row>
    <row r="1058" spans="1:5">
      <c r="A1058" s="84"/>
      <c r="E1058" s="94"/>
    </row>
    <row r="1059" spans="1:5">
      <c r="A1059" s="84"/>
      <c r="E1059" s="94"/>
    </row>
    <row r="1060" spans="1:5">
      <c r="A1060" s="84"/>
      <c r="E1060" s="94"/>
    </row>
    <row r="1061" spans="1:5">
      <c r="A1061" s="84"/>
      <c r="E1061" s="94"/>
    </row>
    <row r="1062" spans="1:5">
      <c r="A1062" s="84"/>
      <c r="E1062" s="94"/>
    </row>
    <row r="1063" spans="1:5">
      <c r="A1063" s="84"/>
      <c r="E1063" s="94"/>
    </row>
    <row r="1064" spans="1:5">
      <c r="A1064" s="84"/>
      <c r="E1064" s="94"/>
    </row>
    <row r="1065" spans="1:5">
      <c r="A1065" s="84"/>
      <c r="E1065" s="94"/>
    </row>
    <row r="1066" spans="1:5">
      <c r="A1066" s="84"/>
      <c r="E1066" s="94"/>
    </row>
    <row r="1067" spans="1:5">
      <c r="A1067" s="84"/>
      <c r="E1067" s="94"/>
    </row>
    <row r="1068" spans="1:5">
      <c r="A1068" s="84"/>
      <c r="E1068" s="94"/>
    </row>
    <row r="1069" spans="1:5">
      <c r="A1069" s="84"/>
      <c r="E1069" s="94"/>
    </row>
    <row r="1070" spans="1:5">
      <c r="A1070" s="84"/>
      <c r="E1070" s="94"/>
    </row>
    <row r="1071" spans="1:5">
      <c r="A1071" s="84"/>
      <c r="E1071" s="94"/>
    </row>
    <row r="1072" spans="1:5">
      <c r="A1072" s="84"/>
      <c r="E1072" s="94"/>
    </row>
    <row r="1073" spans="1:5">
      <c r="A1073" s="84"/>
      <c r="E1073" s="94"/>
    </row>
    <row r="1074" spans="1:5">
      <c r="A1074" s="84"/>
      <c r="E1074" s="94"/>
    </row>
    <row r="1075" spans="1:5">
      <c r="A1075" s="84"/>
      <c r="E1075" s="94"/>
    </row>
    <row r="1076" spans="1:5">
      <c r="A1076" s="84"/>
      <c r="E1076" s="94"/>
    </row>
    <row r="1077" spans="1:5">
      <c r="A1077" s="84"/>
      <c r="E1077" s="94"/>
    </row>
    <row r="1078" spans="1:5">
      <c r="A1078" s="84"/>
      <c r="E1078" s="94"/>
    </row>
    <row r="1079" spans="1:5">
      <c r="A1079" s="84"/>
      <c r="E1079" s="94"/>
    </row>
    <row r="1080" spans="1:5">
      <c r="A1080" s="84"/>
      <c r="E1080" s="94"/>
    </row>
    <row r="1081" spans="1:5">
      <c r="A1081" s="84"/>
      <c r="E1081" s="94"/>
    </row>
    <row r="1082" spans="1:5">
      <c r="A1082" s="84"/>
      <c r="E1082" s="94"/>
    </row>
    <row r="1083" spans="1:5">
      <c r="A1083" s="84"/>
      <c r="E1083" s="94"/>
    </row>
    <row r="1084" spans="1:5">
      <c r="A1084" s="84"/>
      <c r="E1084" s="94"/>
    </row>
    <row r="1085" spans="1:5">
      <c r="A1085" s="84"/>
      <c r="E1085" s="94"/>
    </row>
    <row r="1086" spans="1:5">
      <c r="A1086" s="84"/>
      <c r="E1086" s="94"/>
    </row>
    <row r="1087" spans="1:5">
      <c r="A1087" s="84"/>
      <c r="E1087" s="94"/>
    </row>
    <row r="1088" spans="1:5">
      <c r="A1088" s="84"/>
      <c r="E1088" s="94"/>
    </row>
    <row r="1089" spans="1:5">
      <c r="A1089" s="84"/>
      <c r="E1089" s="94"/>
    </row>
    <row r="1090" spans="1:5">
      <c r="A1090" s="84"/>
      <c r="E1090" s="94"/>
    </row>
    <row r="1091" spans="1:5">
      <c r="A1091" s="84"/>
      <c r="E1091" s="94"/>
    </row>
    <row r="1092" spans="1:5">
      <c r="A1092" s="84"/>
      <c r="E1092" s="94"/>
    </row>
    <row r="1093" spans="1:5">
      <c r="A1093" s="84"/>
      <c r="E1093" s="94"/>
    </row>
    <row r="1094" spans="1:5">
      <c r="A1094" s="84"/>
      <c r="E1094" s="94"/>
    </row>
    <row r="1095" spans="1:5">
      <c r="A1095" s="84"/>
      <c r="E1095" s="94"/>
    </row>
    <row r="1096" spans="1:5">
      <c r="A1096" s="84"/>
      <c r="E1096" s="94"/>
    </row>
    <row r="1097" spans="1:5">
      <c r="A1097" s="84"/>
      <c r="E1097" s="94"/>
    </row>
    <row r="1098" spans="1:5">
      <c r="A1098" s="84"/>
      <c r="E1098" s="94"/>
    </row>
    <row r="1099" spans="1:5">
      <c r="A1099" s="84"/>
      <c r="E1099" s="94"/>
    </row>
    <row r="1100" spans="1:5">
      <c r="A1100" s="84"/>
      <c r="E1100" s="94"/>
    </row>
    <row r="1101" spans="1:5">
      <c r="A1101" s="84"/>
      <c r="E1101" s="94"/>
    </row>
    <row r="1102" spans="1:5">
      <c r="A1102" s="84"/>
      <c r="E1102" s="94"/>
    </row>
    <row r="1103" spans="1:5">
      <c r="A1103" s="84"/>
      <c r="E1103" s="94"/>
    </row>
    <row r="1104" spans="1:5">
      <c r="A1104" s="84"/>
      <c r="E1104" s="94"/>
    </row>
    <row r="1105" spans="1:5">
      <c r="A1105" s="84"/>
      <c r="E1105" s="94"/>
    </row>
    <row r="1106" spans="1:5">
      <c r="A1106" s="84"/>
      <c r="E1106" s="94"/>
    </row>
    <row r="1107" spans="1:5">
      <c r="A1107" s="84"/>
      <c r="E1107" s="94"/>
    </row>
    <row r="1108" spans="1:5">
      <c r="A1108" s="84"/>
      <c r="E1108" s="94"/>
    </row>
    <row r="1109" spans="1:5">
      <c r="A1109" s="84"/>
      <c r="E1109" s="94"/>
    </row>
    <row r="1110" spans="1:5">
      <c r="A1110" s="84"/>
      <c r="E1110" s="94"/>
    </row>
    <row r="1111" spans="1:5">
      <c r="A1111" s="84"/>
      <c r="E1111" s="94"/>
    </row>
    <row r="1112" spans="1:5">
      <c r="A1112" s="84"/>
      <c r="E1112" s="94"/>
    </row>
    <row r="1113" spans="1:5">
      <c r="A1113" s="84"/>
      <c r="E1113" s="94"/>
    </row>
    <row r="1114" spans="1:5">
      <c r="A1114" s="84"/>
      <c r="E1114" s="94"/>
    </row>
    <row r="1115" spans="1:5">
      <c r="A1115" s="84"/>
      <c r="E1115" s="94"/>
    </row>
    <row r="1116" spans="1:5">
      <c r="A1116" s="84"/>
      <c r="E1116" s="94"/>
    </row>
    <row r="1117" spans="1:5">
      <c r="A1117" s="84"/>
      <c r="E1117" s="94"/>
    </row>
    <row r="1118" spans="1:5">
      <c r="A1118" s="84"/>
      <c r="E1118" s="94"/>
    </row>
    <row r="1119" spans="1:5">
      <c r="A1119" s="84"/>
      <c r="E1119" s="94"/>
    </row>
    <row r="1120" spans="1:5">
      <c r="A1120" s="84"/>
      <c r="E1120" s="94"/>
    </row>
    <row r="1121" spans="1:5">
      <c r="A1121" s="84"/>
      <c r="E1121" s="94"/>
    </row>
    <row r="1122" spans="1:5">
      <c r="A1122" s="84"/>
      <c r="E1122" s="94"/>
    </row>
    <row r="1123" spans="1:5">
      <c r="A1123" s="84"/>
      <c r="E1123" s="94"/>
    </row>
    <row r="1124" spans="1:5">
      <c r="A1124" s="84"/>
      <c r="E1124" s="94"/>
    </row>
    <row r="1125" spans="1:5">
      <c r="A1125" s="84"/>
      <c r="E1125" s="94"/>
    </row>
    <row r="1126" spans="1:5">
      <c r="A1126" s="84"/>
      <c r="E1126" s="94"/>
    </row>
    <row r="1127" spans="1:5">
      <c r="A1127" s="84"/>
      <c r="E1127" s="94"/>
    </row>
    <row r="1128" spans="1:5">
      <c r="A1128" s="84"/>
      <c r="E1128" s="94"/>
    </row>
    <row r="1129" spans="1:5">
      <c r="A1129" s="84"/>
      <c r="E1129" s="94"/>
    </row>
    <row r="1130" spans="1:5">
      <c r="A1130" s="84"/>
      <c r="E1130" s="94"/>
    </row>
    <row r="1131" spans="1:5">
      <c r="A1131" s="84"/>
      <c r="E1131" s="94"/>
    </row>
    <row r="1132" spans="1:5">
      <c r="A1132" s="84"/>
      <c r="E1132" s="94"/>
    </row>
    <row r="1133" spans="1:5">
      <c r="A1133" s="84"/>
      <c r="E1133" s="94"/>
    </row>
    <row r="1134" spans="1:5">
      <c r="A1134" s="84"/>
      <c r="E1134" s="94"/>
    </row>
    <row r="1135" spans="1:5">
      <c r="A1135" s="84"/>
      <c r="E1135" s="94"/>
    </row>
    <row r="1136" spans="1:5">
      <c r="A1136" s="84"/>
      <c r="E1136" s="94"/>
    </row>
    <row r="1137" spans="1:5">
      <c r="A1137" s="84"/>
      <c r="E1137" s="94"/>
    </row>
    <row r="1138" spans="1:5">
      <c r="A1138" s="84"/>
      <c r="E1138" s="94"/>
    </row>
    <row r="1139" spans="1:5">
      <c r="A1139" s="84"/>
      <c r="E1139" s="94"/>
    </row>
    <row r="1140" spans="1:5">
      <c r="A1140" s="84"/>
      <c r="E1140" s="94"/>
    </row>
    <row r="1141" spans="1:5">
      <c r="A1141" s="84"/>
      <c r="E1141" s="94"/>
    </row>
    <row r="1142" spans="1:5">
      <c r="A1142" s="84"/>
      <c r="E1142" s="94"/>
    </row>
    <row r="1143" spans="1:5">
      <c r="A1143" s="84"/>
      <c r="E1143" s="94"/>
    </row>
    <row r="1144" spans="1:5">
      <c r="A1144" s="84"/>
      <c r="E1144" s="94"/>
    </row>
    <row r="1145" spans="1:5">
      <c r="A1145" s="84"/>
      <c r="E1145" s="94"/>
    </row>
    <row r="1146" spans="1:5">
      <c r="A1146" s="84"/>
      <c r="E1146" s="94"/>
    </row>
    <row r="1147" spans="1:5">
      <c r="A1147" s="84"/>
      <c r="E1147" s="94"/>
    </row>
    <row r="1148" spans="1:5">
      <c r="A1148" s="84"/>
      <c r="E1148" s="94"/>
    </row>
    <row r="1149" spans="1:5">
      <c r="A1149" s="84"/>
      <c r="E1149" s="94"/>
    </row>
    <row r="1150" spans="1:5">
      <c r="A1150" s="84"/>
      <c r="E1150" s="94"/>
    </row>
    <row r="1151" spans="1:5">
      <c r="A1151" s="84"/>
      <c r="E1151" s="94"/>
    </row>
    <row r="1152" spans="1:5">
      <c r="A1152" s="84"/>
      <c r="E1152" s="94"/>
    </row>
    <row r="1153" spans="1:5">
      <c r="A1153" s="84"/>
      <c r="E1153" s="94"/>
    </row>
    <row r="1154" spans="1:5">
      <c r="A1154" s="84"/>
      <c r="E1154" s="94"/>
    </row>
    <row r="1155" spans="1:5">
      <c r="A1155" s="84"/>
      <c r="E1155" s="94"/>
    </row>
    <row r="1156" spans="1:5">
      <c r="A1156" s="84"/>
      <c r="E1156" s="94"/>
    </row>
    <row r="1157" spans="1:5">
      <c r="A1157" s="84"/>
      <c r="E1157" s="94"/>
    </row>
    <row r="1158" spans="1:5">
      <c r="A1158" s="84"/>
      <c r="E1158" s="94"/>
    </row>
    <row r="1159" spans="1:5">
      <c r="A1159" s="84"/>
      <c r="E1159" s="94"/>
    </row>
    <row r="1160" spans="1:5">
      <c r="A1160" s="84"/>
      <c r="E1160" s="94"/>
    </row>
    <row r="1161" spans="1:5">
      <c r="A1161" s="84"/>
      <c r="E1161" s="94"/>
    </row>
    <row r="1162" spans="1:5">
      <c r="A1162" s="84"/>
      <c r="E1162" s="94"/>
    </row>
    <row r="1163" spans="1:5">
      <c r="A1163" s="84"/>
      <c r="E1163" s="94"/>
    </row>
    <row r="1164" spans="1:5">
      <c r="A1164" s="84"/>
      <c r="E1164" s="94"/>
    </row>
    <row r="1165" spans="1:5">
      <c r="A1165" s="84"/>
      <c r="E1165" s="94"/>
    </row>
    <row r="1166" spans="1:5">
      <c r="A1166" s="84"/>
      <c r="E1166" s="94"/>
    </row>
    <row r="1167" spans="1:5">
      <c r="A1167" s="84"/>
      <c r="E1167" s="94"/>
    </row>
    <row r="1168" spans="1:5">
      <c r="A1168" s="84"/>
      <c r="E1168" s="94"/>
    </row>
    <row r="1169" spans="1:5">
      <c r="A1169" s="84"/>
      <c r="E1169" s="94"/>
    </row>
    <row r="1170" spans="1:5">
      <c r="A1170" s="84"/>
      <c r="E1170" s="94"/>
    </row>
    <row r="1171" spans="1:5">
      <c r="A1171" s="84"/>
      <c r="E1171" s="94"/>
    </row>
    <row r="1172" spans="1:5">
      <c r="A1172" s="84"/>
      <c r="E1172" s="94"/>
    </row>
    <row r="1173" spans="1:5">
      <c r="A1173" s="84"/>
      <c r="E1173" s="94"/>
    </row>
    <row r="1174" spans="1:5">
      <c r="A1174" s="84"/>
      <c r="E1174" s="94"/>
    </row>
    <row r="1175" spans="1:5">
      <c r="A1175" s="84"/>
      <c r="E1175" s="94"/>
    </row>
    <row r="1176" spans="1:5">
      <c r="A1176" s="84"/>
      <c r="E1176" s="94"/>
    </row>
    <row r="1177" spans="1:5">
      <c r="A1177" s="84"/>
      <c r="E1177" s="94"/>
    </row>
    <row r="1178" spans="1:5">
      <c r="A1178" s="84"/>
      <c r="E1178" s="94"/>
    </row>
    <row r="1179" spans="1:5">
      <c r="A1179" s="84"/>
      <c r="E1179" s="94"/>
    </row>
    <row r="1180" spans="1:5">
      <c r="A1180" s="84"/>
      <c r="E1180" s="94"/>
    </row>
    <row r="1181" spans="1:5">
      <c r="A1181" s="84"/>
      <c r="E1181" s="94"/>
    </row>
    <row r="1182" spans="1:5">
      <c r="A1182" s="84"/>
      <c r="E1182" s="94"/>
    </row>
    <row r="1183" spans="1:5">
      <c r="A1183" s="84"/>
      <c r="E1183" s="94"/>
    </row>
    <row r="1184" spans="1:5">
      <c r="A1184" s="84"/>
      <c r="E1184" s="94"/>
    </row>
    <row r="1185" spans="1:5">
      <c r="A1185" s="84"/>
      <c r="E1185" s="94"/>
    </row>
    <row r="1186" spans="1:5">
      <c r="A1186" s="84"/>
      <c r="E1186" s="94"/>
    </row>
    <row r="1187" spans="1:5">
      <c r="A1187" s="84"/>
      <c r="E1187" s="94"/>
    </row>
    <row r="1188" spans="1:5">
      <c r="A1188" s="84"/>
      <c r="E1188" s="94"/>
    </row>
    <row r="1189" spans="1:5">
      <c r="A1189" s="84"/>
      <c r="E1189" s="94"/>
    </row>
    <row r="1190" spans="1:5">
      <c r="A1190" s="84"/>
      <c r="E1190" s="94"/>
    </row>
    <row r="1191" spans="1:5">
      <c r="A1191" s="84"/>
      <c r="E1191" s="94"/>
    </row>
    <row r="1192" spans="1:5">
      <c r="A1192" s="84"/>
      <c r="E1192" s="94"/>
    </row>
    <row r="1193" spans="1:5">
      <c r="A1193" s="84"/>
      <c r="E1193" s="94"/>
    </row>
    <row r="1194" spans="1:5">
      <c r="A1194" s="84"/>
      <c r="E1194" s="94"/>
    </row>
    <row r="1195" spans="1:5">
      <c r="A1195" s="84"/>
      <c r="E1195" s="94"/>
    </row>
    <row r="1196" spans="1:5">
      <c r="A1196" s="84"/>
      <c r="E1196" s="94"/>
    </row>
    <row r="1197" spans="1:5">
      <c r="A1197" s="84"/>
      <c r="E1197" s="94"/>
    </row>
    <row r="1198" spans="1:5">
      <c r="A1198" s="84"/>
      <c r="E1198" s="94"/>
    </row>
    <row r="1199" spans="1:5">
      <c r="A1199" s="84"/>
      <c r="E1199" s="94"/>
    </row>
    <row r="1200" spans="1:5">
      <c r="A1200" s="84"/>
      <c r="E1200" s="94"/>
    </row>
    <row r="1201" spans="1:5">
      <c r="A1201" s="84"/>
      <c r="E1201" s="94"/>
    </row>
    <row r="1202" spans="1:5">
      <c r="A1202" s="84"/>
      <c r="E1202" s="94"/>
    </row>
    <row r="1203" spans="1:5">
      <c r="A1203" s="84"/>
      <c r="E1203" s="94"/>
    </row>
    <row r="1204" spans="1:5">
      <c r="A1204" s="84"/>
      <c r="E1204" s="94"/>
    </row>
    <row r="1205" spans="1:5">
      <c r="A1205" s="84"/>
      <c r="E1205" s="94"/>
    </row>
    <row r="1206" spans="1:5">
      <c r="A1206" s="84"/>
      <c r="E1206" s="94"/>
    </row>
    <row r="1207" spans="1:5">
      <c r="A1207" s="84"/>
      <c r="E1207" s="94"/>
    </row>
    <row r="1208" spans="1:5">
      <c r="A1208" s="84"/>
      <c r="E1208" s="94"/>
    </row>
    <row r="1209" spans="1:5">
      <c r="A1209" s="84"/>
      <c r="E1209" s="94"/>
    </row>
    <row r="1210" spans="1:5">
      <c r="A1210" s="84"/>
      <c r="E1210" s="94"/>
    </row>
    <row r="1211" spans="1:5">
      <c r="A1211" s="84"/>
      <c r="E1211" s="94"/>
    </row>
    <row r="1212" spans="1:5">
      <c r="A1212" s="84"/>
      <c r="E1212" s="94"/>
    </row>
    <row r="1213" spans="1:5">
      <c r="E1213" s="94"/>
    </row>
    <row r="1214" spans="1:5">
      <c r="E1214" s="94"/>
    </row>
    <row r="1215" spans="1:5">
      <c r="E1215" s="94"/>
    </row>
    <row r="1216" spans="1:5">
      <c r="E1216" s="94"/>
    </row>
    <row r="1217" spans="5:5">
      <c r="E1217" s="94"/>
    </row>
    <row r="1218" spans="5:5">
      <c r="E1218" s="94"/>
    </row>
    <row r="1219" spans="5:5">
      <c r="E1219" s="94"/>
    </row>
    <row r="1220" spans="5:5">
      <c r="E1220" s="94"/>
    </row>
    <row r="1221" spans="5:5">
      <c r="E1221" s="94"/>
    </row>
    <row r="1222" spans="5:5">
      <c r="E1222" s="94"/>
    </row>
    <row r="1223" spans="5:5">
      <c r="E1223" s="94"/>
    </row>
    <row r="1224" spans="5:5">
      <c r="E1224" s="94"/>
    </row>
    <row r="1225" spans="5:5">
      <c r="E1225" s="94"/>
    </row>
    <row r="1226" spans="5:5">
      <c r="E1226" s="94"/>
    </row>
    <row r="1227" spans="5:5">
      <c r="E1227" s="94"/>
    </row>
    <row r="1228" spans="5:5">
      <c r="E1228" s="94"/>
    </row>
    <row r="1229" spans="5:5">
      <c r="E1229" s="94"/>
    </row>
    <row r="1230" spans="5:5">
      <c r="E1230" s="94"/>
    </row>
    <row r="1231" spans="5:5">
      <c r="E1231" s="94"/>
    </row>
    <row r="1232" spans="5:5">
      <c r="E1232" s="94"/>
    </row>
    <row r="1233" spans="5:5">
      <c r="E1233" s="94"/>
    </row>
    <row r="1234" spans="5:5">
      <c r="E1234" s="94"/>
    </row>
    <row r="1235" spans="5:5">
      <c r="E1235" s="94"/>
    </row>
    <row r="1236" spans="5:5">
      <c r="E1236" s="94"/>
    </row>
    <row r="1237" spans="5:5">
      <c r="E1237" s="94"/>
    </row>
    <row r="1238" spans="5:5">
      <c r="E1238" s="94"/>
    </row>
    <row r="1239" spans="5:5">
      <c r="E1239" s="94"/>
    </row>
    <row r="1240" spans="5:5">
      <c r="E1240" s="94"/>
    </row>
    <row r="1241" spans="5:5">
      <c r="E1241" s="94"/>
    </row>
    <row r="1242" spans="5:5">
      <c r="E1242" s="94"/>
    </row>
    <row r="1243" spans="5:5">
      <c r="E1243" s="94"/>
    </row>
    <row r="1244" spans="5:5">
      <c r="E1244" s="94"/>
    </row>
    <row r="1245" spans="5:5">
      <c r="E1245" s="94"/>
    </row>
    <row r="1246" spans="5:5">
      <c r="E1246" s="94"/>
    </row>
    <row r="1247" spans="5:5">
      <c r="E1247" s="94"/>
    </row>
    <row r="1248" spans="5:5">
      <c r="E1248" s="94"/>
    </row>
    <row r="1249" spans="5:5">
      <c r="E1249" s="94"/>
    </row>
    <row r="1250" spans="5:5">
      <c r="E1250" s="94"/>
    </row>
    <row r="1251" spans="5:5">
      <c r="E1251" s="94"/>
    </row>
    <row r="1252" spans="5:5">
      <c r="E1252" s="94"/>
    </row>
    <row r="1253" spans="5:5">
      <c r="E1253" s="94"/>
    </row>
    <row r="1254" spans="5:5">
      <c r="E1254" s="94"/>
    </row>
    <row r="1255" spans="5:5">
      <c r="E1255" s="94"/>
    </row>
    <row r="1256" spans="5:5">
      <c r="E1256" s="94"/>
    </row>
    <row r="1257" spans="5:5">
      <c r="E1257" s="94"/>
    </row>
    <row r="1258" spans="5:5">
      <c r="E1258" s="94"/>
    </row>
    <row r="1259" spans="5:5">
      <c r="E1259" s="94"/>
    </row>
    <row r="1260" spans="5:5">
      <c r="E1260" s="94"/>
    </row>
    <row r="1261" spans="5:5">
      <c r="E1261" s="94"/>
    </row>
    <row r="1262" spans="5:5">
      <c r="E1262" s="94"/>
    </row>
    <row r="1263" spans="5:5">
      <c r="E1263" s="94"/>
    </row>
    <row r="1264" spans="5:5">
      <c r="E1264" s="94"/>
    </row>
    <row r="1265" spans="5:5">
      <c r="E1265" s="94"/>
    </row>
    <row r="1266" spans="5:5">
      <c r="E1266" s="94"/>
    </row>
    <row r="1267" spans="5:5">
      <c r="E1267" s="94"/>
    </row>
    <row r="1268" spans="5:5">
      <c r="E1268" s="94"/>
    </row>
    <row r="1269" spans="5:5">
      <c r="E1269" s="94"/>
    </row>
    <row r="1270" spans="5:5">
      <c r="E1270" s="94"/>
    </row>
    <row r="1271" spans="5:5">
      <c r="E1271" s="94"/>
    </row>
    <row r="1272" spans="5:5">
      <c r="E1272" s="94"/>
    </row>
    <row r="1273" spans="5:5">
      <c r="E1273" s="94"/>
    </row>
    <row r="1274" spans="5:5">
      <c r="E1274" s="94"/>
    </row>
    <row r="1275" spans="5:5">
      <c r="E1275" s="94"/>
    </row>
    <row r="1276" spans="5:5">
      <c r="E1276" s="94"/>
    </row>
    <row r="1277" spans="5:5">
      <c r="E1277" s="94"/>
    </row>
    <row r="1278" spans="5:5">
      <c r="E1278" s="94"/>
    </row>
    <row r="1279" spans="5:5">
      <c r="E1279" s="94"/>
    </row>
    <row r="1280" spans="5:5">
      <c r="E1280" s="94"/>
    </row>
  </sheetData>
  <autoFilter ref="A17:F885" xr:uid="{00000000-0009-0000-0000-000003000000}">
    <filterColumn colId="0">
      <customFilters>
        <customFilter operator="notEqual" val=" "/>
      </customFilters>
    </filterColumn>
  </autoFilter>
  <mergeCells count="30">
    <mergeCell ref="A5:B5"/>
    <mergeCell ref="H5:I5"/>
    <mergeCell ref="A1:E1"/>
    <mergeCell ref="A2:B2"/>
    <mergeCell ref="A3:B3"/>
    <mergeCell ref="A4:B4"/>
    <mergeCell ref="H4:I4"/>
    <mergeCell ref="A6:B6"/>
    <mergeCell ref="H6:H7"/>
    <mergeCell ref="I6:J7"/>
    <mergeCell ref="A7:B7"/>
    <mergeCell ref="A8:B8"/>
    <mergeCell ref="H8:H9"/>
    <mergeCell ref="I8:J9"/>
    <mergeCell ref="A9:B9"/>
    <mergeCell ref="A10:B10"/>
    <mergeCell ref="A11:B11"/>
    <mergeCell ref="F11:H11"/>
    <mergeCell ref="I11:J14"/>
    <mergeCell ref="A12:B12"/>
    <mergeCell ref="F13:G13"/>
    <mergeCell ref="C14:D14"/>
    <mergeCell ref="M325:M326"/>
    <mergeCell ref="H16:J16"/>
    <mergeCell ref="C275:D275"/>
    <mergeCell ref="B325:B326"/>
    <mergeCell ref="C325:C326"/>
    <mergeCell ref="D325:D326"/>
    <mergeCell ref="E325:E326"/>
    <mergeCell ref="G325:G326"/>
  </mergeCells>
  <conditionalFormatting sqref="G8">
    <cfRule type="cellIs" dxfId="9" priority="9" stopIfTrue="1" operator="greaterThan">
      <formula>180</formula>
    </cfRule>
  </conditionalFormatting>
  <conditionalFormatting sqref="B14:D14">
    <cfRule type="cellIs" dxfId="8" priority="11" stopIfTrue="1" operator="notEqual">
      <formula>$AK$1</formula>
    </cfRule>
  </conditionalFormatting>
  <conditionalFormatting sqref="E19:E61 E64:E69">
    <cfRule type="cellIs" dxfId="7" priority="8" stopIfTrue="1" operator="equal">
      <formula>0</formula>
    </cfRule>
  </conditionalFormatting>
  <conditionalFormatting sqref="I6:J7">
    <cfRule type="expression" dxfId="6" priority="5" stopIfTrue="1">
      <formula>$I$6="Too Low, increase GLOPU or decrease jack diameter, if above 50 use ASK ENGINEERING"</formula>
    </cfRule>
    <cfRule type="expression" dxfId="5" priority="7" stopIfTrue="1">
      <formula>$I$6="Good!"</formula>
    </cfRule>
  </conditionalFormatting>
  <conditionalFormatting sqref="I8:J9">
    <cfRule type="expression" dxfId="4" priority="4" stopIfTrue="1">
      <formula>$I$8="Too High, reduce GLOPU or increase plunger diameter"</formula>
    </cfRule>
    <cfRule type="expression" dxfId="3" priority="6" stopIfTrue="1">
      <formula>$I$8="Good!"</formula>
    </cfRule>
  </conditionalFormatting>
  <conditionalFormatting sqref="E62:E63">
    <cfRule type="cellIs" dxfId="2" priority="3" stopIfTrue="1" operator="equal">
      <formula>0</formula>
    </cfRule>
  </conditionalFormatting>
  <conditionalFormatting sqref="C438">
    <cfRule type="expression" dxfId="1" priority="2" stopIfTrue="1">
      <formula>AND($C$438="- Applied Panel",SUM($A$194,$A$205,$A$219,$A$230,$A$244,$A$261,$A$334,$A$335,$A$336,$A$337)&gt;0)</formula>
    </cfRule>
  </conditionalFormatting>
  <conditionalFormatting sqref="C495">
    <cfRule type="expression" dxfId="0" priority="1" stopIfTrue="1">
      <formula>AND($C$495="- Applied Panel",SUM($A$194,$A$205,$A$219,$A$230,$A$244,$A$261,$A$334,$A$335,$A$336,$A$337)&gt;0)</formula>
    </cfRule>
  </conditionalFormatting>
  <dataValidations disablePrompts="1" count="13">
    <dataValidation type="list" allowBlank="1" showInputMessage="1" showErrorMessage="1" sqref="D524:D527 IZ524:IZ527 SV524:SV527 ACR524:ACR527 AMN524:AMN527 AWJ524:AWJ527 BGF524:BGF527 BQB524:BQB527 BZX524:BZX527 CJT524:CJT527 CTP524:CTP527 DDL524:DDL527 DNH524:DNH527 DXD524:DXD527 EGZ524:EGZ527 EQV524:EQV527 FAR524:FAR527 FKN524:FKN527 FUJ524:FUJ527 GEF524:GEF527 GOB524:GOB527 GXX524:GXX527 HHT524:HHT527 HRP524:HRP527 IBL524:IBL527 ILH524:ILH527 IVD524:IVD527 JEZ524:JEZ527 JOV524:JOV527 JYR524:JYR527 KIN524:KIN527 KSJ524:KSJ527 LCF524:LCF527 LMB524:LMB527 LVX524:LVX527 MFT524:MFT527 MPP524:MPP527 MZL524:MZL527 NJH524:NJH527 NTD524:NTD527 OCZ524:OCZ527 OMV524:OMV527 OWR524:OWR527 PGN524:PGN527 PQJ524:PQJ527 QAF524:QAF527 QKB524:QKB527 QTX524:QTX527 RDT524:RDT527 RNP524:RNP527 RXL524:RXL527 SHH524:SHH527 SRD524:SRD527 TAZ524:TAZ527 TKV524:TKV527 TUR524:TUR527 UEN524:UEN527 UOJ524:UOJ527 UYF524:UYF527 VIB524:VIB527 VRX524:VRX527 WBT524:WBT527 WLP524:WLP527 WVL524:WVL527 D66065:D66068 IZ66065:IZ66068 SV66065:SV66068 ACR66065:ACR66068 AMN66065:AMN66068 AWJ66065:AWJ66068 BGF66065:BGF66068 BQB66065:BQB66068 BZX66065:BZX66068 CJT66065:CJT66068 CTP66065:CTP66068 DDL66065:DDL66068 DNH66065:DNH66068 DXD66065:DXD66068 EGZ66065:EGZ66068 EQV66065:EQV66068 FAR66065:FAR66068 FKN66065:FKN66068 FUJ66065:FUJ66068 GEF66065:GEF66068 GOB66065:GOB66068 GXX66065:GXX66068 HHT66065:HHT66068 HRP66065:HRP66068 IBL66065:IBL66068 ILH66065:ILH66068 IVD66065:IVD66068 JEZ66065:JEZ66068 JOV66065:JOV66068 JYR66065:JYR66068 KIN66065:KIN66068 KSJ66065:KSJ66068 LCF66065:LCF66068 LMB66065:LMB66068 LVX66065:LVX66068 MFT66065:MFT66068 MPP66065:MPP66068 MZL66065:MZL66068 NJH66065:NJH66068 NTD66065:NTD66068 OCZ66065:OCZ66068 OMV66065:OMV66068 OWR66065:OWR66068 PGN66065:PGN66068 PQJ66065:PQJ66068 QAF66065:QAF66068 QKB66065:QKB66068 QTX66065:QTX66068 RDT66065:RDT66068 RNP66065:RNP66068 RXL66065:RXL66068 SHH66065:SHH66068 SRD66065:SRD66068 TAZ66065:TAZ66068 TKV66065:TKV66068 TUR66065:TUR66068 UEN66065:UEN66068 UOJ66065:UOJ66068 UYF66065:UYF66068 VIB66065:VIB66068 VRX66065:VRX66068 WBT66065:WBT66068 WLP66065:WLP66068 WVL66065:WVL66068 D131601:D131604 IZ131601:IZ131604 SV131601:SV131604 ACR131601:ACR131604 AMN131601:AMN131604 AWJ131601:AWJ131604 BGF131601:BGF131604 BQB131601:BQB131604 BZX131601:BZX131604 CJT131601:CJT131604 CTP131601:CTP131604 DDL131601:DDL131604 DNH131601:DNH131604 DXD131601:DXD131604 EGZ131601:EGZ131604 EQV131601:EQV131604 FAR131601:FAR131604 FKN131601:FKN131604 FUJ131601:FUJ131604 GEF131601:GEF131604 GOB131601:GOB131604 GXX131601:GXX131604 HHT131601:HHT131604 HRP131601:HRP131604 IBL131601:IBL131604 ILH131601:ILH131604 IVD131601:IVD131604 JEZ131601:JEZ131604 JOV131601:JOV131604 JYR131601:JYR131604 KIN131601:KIN131604 KSJ131601:KSJ131604 LCF131601:LCF131604 LMB131601:LMB131604 LVX131601:LVX131604 MFT131601:MFT131604 MPP131601:MPP131604 MZL131601:MZL131604 NJH131601:NJH131604 NTD131601:NTD131604 OCZ131601:OCZ131604 OMV131601:OMV131604 OWR131601:OWR131604 PGN131601:PGN131604 PQJ131601:PQJ131604 QAF131601:QAF131604 QKB131601:QKB131604 QTX131601:QTX131604 RDT131601:RDT131604 RNP131601:RNP131604 RXL131601:RXL131604 SHH131601:SHH131604 SRD131601:SRD131604 TAZ131601:TAZ131604 TKV131601:TKV131604 TUR131601:TUR131604 UEN131601:UEN131604 UOJ131601:UOJ131604 UYF131601:UYF131604 VIB131601:VIB131604 VRX131601:VRX131604 WBT131601:WBT131604 WLP131601:WLP131604 WVL131601:WVL131604 D197137:D197140 IZ197137:IZ197140 SV197137:SV197140 ACR197137:ACR197140 AMN197137:AMN197140 AWJ197137:AWJ197140 BGF197137:BGF197140 BQB197137:BQB197140 BZX197137:BZX197140 CJT197137:CJT197140 CTP197137:CTP197140 DDL197137:DDL197140 DNH197137:DNH197140 DXD197137:DXD197140 EGZ197137:EGZ197140 EQV197137:EQV197140 FAR197137:FAR197140 FKN197137:FKN197140 FUJ197137:FUJ197140 GEF197137:GEF197140 GOB197137:GOB197140 GXX197137:GXX197140 HHT197137:HHT197140 HRP197137:HRP197140 IBL197137:IBL197140 ILH197137:ILH197140 IVD197137:IVD197140 JEZ197137:JEZ197140 JOV197137:JOV197140 JYR197137:JYR197140 KIN197137:KIN197140 KSJ197137:KSJ197140 LCF197137:LCF197140 LMB197137:LMB197140 LVX197137:LVX197140 MFT197137:MFT197140 MPP197137:MPP197140 MZL197137:MZL197140 NJH197137:NJH197140 NTD197137:NTD197140 OCZ197137:OCZ197140 OMV197137:OMV197140 OWR197137:OWR197140 PGN197137:PGN197140 PQJ197137:PQJ197140 QAF197137:QAF197140 QKB197137:QKB197140 QTX197137:QTX197140 RDT197137:RDT197140 RNP197137:RNP197140 RXL197137:RXL197140 SHH197137:SHH197140 SRD197137:SRD197140 TAZ197137:TAZ197140 TKV197137:TKV197140 TUR197137:TUR197140 UEN197137:UEN197140 UOJ197137:UOJ197140 UYF197137:UYF197140 VIB197137:VIB197140 VRX197137:VRX197140 WBT197137:WBT197140 WLP197137:WLP197140 WVL197137:WVL197140 D262673:D262676 IZ262673:IZ262676 SV262673:SV262676 ACR262673:ACR262676 AMN262673:AMN262676 AWJ262673:AWJ262676 BGF262673:BGF262676 BQB262673:BQB262676 BZX262673:BZX262676 CJT262673:CJT262676 CTP262673:CTP262676 DDL262673:DDL262676 DNH262673:DNH262676 DXD262673:DXD262676 EGZ262673:EGZ262676 EQV262673:EQV262676 FAR262673:FAR262676 FKN262673:FKN262676 FUJ262673:FUJ262676 GEF262673:GEF262676 GOB262673:GOB262676 GXX262673:GXX262676 HHT262673:HHT262676 HRP262673:HRP262676 IBL262673:IBL262676 ILH262673:ILH262676 IVD262673:IVD262676 JEZ262673:JEZ262676 JOV262673:JOV262676 JYR262673:JYR262676 KIN262673:KIN262676 KSJ262673:KSJ262676 LCF262673:LCF262676 LMB262673:LMB262676 LVX262673:LVX262676 MFT262673:MFT262676 MPP262673:MPP262676 MZL262673:MZL262676 NJH262673:NJH262676 NTD262673:NTD262676 OCZ262673:OCZ262676 OMV262673:OMV262676 OWR262673:OWR262676 PGN262673:PGN262676 PQJ262673:PQJ262676 QAF262673:QAF262676 QKB262673:QKB262676 QTX262673:QTX262676 RDT262673:RDT262676 RNP262673:RNP262676 RXL262673:RXL262676 SHH262673:SHH262676 SRD262673:SRD262676 TAZ262673:TAZ262676 TKV262673:TKV262676 TUR262673:TUR262676 UEN262673:UEN262676 UOJ262673:UOJ262676 UYF262673:UYF262676 VIB262673:VIB262676 VRX262673:VRX262676 WBT262673:WBT262676 WLP262673:WLP262676 WVL262673:WVL262676 D328209:D328212 IZ328209:IZ328212 SV328209:SV328212 ACR328209:ACR328212 AMN328209:AMN328212 AWJ328209:AWJ328212 BGF328209:BGF328212 BQB328209:BQB328212 BZX328209:BZX328212 CJT328209:CJT328212 CTP328209:CTP328212 DDL328209:DDL328212 DNH328209:DNH328212 DXD328209:DXD328212 EGZ328209:EGZ328212 EQV328209:EQV328212 FAR328209:FAR328212 FKN328209:FKN328212 FUJ328209:FUJ328212 GEF328209:GEF328212 GOB328209:GOB328212 GXX328209:GXX328212 HHT328209:HHT328212 HRP328209:HRP328212 IBL328209:IBL328212 ILH328209:ILH328212 IVD328209:IVD328212 JEZ328209:JEZ328212 JOV328209:JOV328212 JYR328209:JYR328212 KIN328209:KIN328212 KSJ328209:KSJ328212 LCF328209:LCF328212 LMB328209:LMB328212 LVX328209:LVX328212 MFT328209:MFT328212 MPP328209:MPP328212 MZL328209:MZL328212 NJH328209:NJH328212 NTD328209:NTD328212 OCZ328209:OCZ328212 OMV328209:OMV328212 OWR328209:OWR328212 PGN328209:PGN328212 PQJ328209:PQJ328212 QAF328209:QAF328212 QKB328209:QKB328212 QTX328209:QTX328212 RDT328209:RDT328212 RNP328209:RNP328212 RXL328209:RXL328212 SHH328209:SHH328212 SRD328209:SRD328212 TAZ328209:TAZ328212 TKV328209:TKV328212 TUR328209:TUR328212 UEN328209:UEN328212 UOJ328209:UOJ328212 UYF328209:UYF328212 VIB328209:VIB328212 VRX328209:VRX328212 WBT328209:WBT328212 WLP328209:WLP328212 WVL328209:WVL328212 D393745:D393748 IZ393745:IZ393748 SV393745:SV393748 ACR393745:ACR393748 AMN393745:AMN393748 AWJ393745:AWJ393748 BGF393745:BGF393748 BQB393745:BQB393748 BZX393745:BZX393748 CJT393745:CJT393748 CTP393745:CTP393748 DDL393745:DDL393748 DNH393745:DNH393748 DXD393745:DXD393748 EGZ393745:EGZ393748 EQV393745:EQV393748 FAR393745:FAR393748 FKN393745:FKN393748 FUJ393745:FUJ393748 GEF393745:GEF393748 GOB393745:GOB393748 GXX393745:GXX393748 HHT393745:HHT393748 HRP393745:HRP393748 IBL393745:IBL393748 ILH393745:ILH393748 IVD393745:IVD393748 JEZ393745:JEZ393748 JOV393745:JOV393748 JYR393745:JYR393748 KIN393745:KIN393748 KSJ393745:KSJ393748 LCF393745:LCF393748 LMB393745:LMB393748 LVX393745:LVX393748 MFT393745:MFT393748 MPP393745:MPP393748 MZL393745:MZL393748 NJH393745:NJH393748 NTD393745:NTD393748 OCZ393745:OCZ393748 OMV393745:OMV393748 OWR393745:OWR393748 PGN393745:PGN393748 PQJ393745:PQJ393748 QAF393745:QAF393748 QKB393745:QKB393748 QTX393745:QTX393748 RDT393745:RDT393748 RNP393745:RNP393748 RXL393745:RXL393748 SHH393745:SHH393748 SRD393745:SRD393748 TAZ393745:TAZ393748 TKV393745:TKV393748 TUR393745:TUR393748 UEN393745:UEN393748 UOJ393745:UOJ393748 UYF393745:UYF393748 VIB393745:VIB393748 VRX393745:VRX393748 WBT393745:WBT393748 WLP393745:WLP393748 WVL393745:WVL393748 D459281:D459284 IZ459281:IZ459284 SV459281:SV459284 ACR459281:ACR459284 AMN459281:AMN459284 AWJ459281:AWJ459284 BGF459281:BGF459284 BQB459281:BQB459284 BZX459281:BZX459284 CJT459281:CJT459284 CTP459281:CTP459284 DDL459281:DDL459284 DNH459281:DNH459284 DXD459281:DXD459284 EGZ459281:EGZ459284 EQV459281:EQV459284 FAR459281:FAR459284 FKN459281:FKN459284 FUJ459281:FUJ459284 GEF459281:GEF459284 GOB459281:GOB459284 GXX459281:GXX459284 HHT459281:HHT459284 HRP459281:HRP459284 IBL459281:IBL459284 ILH459281:ILH459284 IVD459281:IVD459284 JEZ459281:JEZ459284 JOV459281:JOV459284 JYR459281:JYR459284 KIN459281:KIN459284 KSJ459281:KSJ459284 LCF459281:LCF459284 LMB459281:LMB459284 LVX459281:LVX459284 MFT459281:MFT459284 MPP459281:MPP459284 MZL459281:MZL459284 NJH459281:NJH459284 NTD459281:NTD459284 OCZ459281:OCZ459284 OMV459281:OMV459284 OWR459281:OWR459284 PGN459281:PGN459284 PQJ459281:PQJ459284 QAF459281:QAF459284 QKB459281:QKB459284 QTX459281:QTX459284 RDT459281:RDT459284 RNP459281:RNP459284 RXL459281:RXL459284 SHH459281:SHH459284 SRD459281:SRD459284 TAZ459281:TAZ459284 TKV459281:TKV459284 TUR459281:TUR459284 UEN459281:UEN459284 UOJ459281:UOJ459284 UYF459281:UYF459284 VIB459281:VIB459284 VRX459281:VRX459284 WBT459281:WBT459284 WLP459281:WLP459284 WVL459281:WVL459284 D524817:D524820 IZ524817:IZ524820 SV524817:SV524820 ACR524817:ACR524820 AMN524817:AMN524820 AWJ524817:AWJ524820 BGF524817:BGF524820 BQB524817:BQB524820 BZX524817:BZX524820 CJT524817:CJT524820 CTP524817:CTP524820 DDL524817:DDL524820 DNH524817:DNH524820 DXD524817:DXD524820 EGZ524817:EGZ524820 EQV524817:EQV524820 FAR524817:FAR524820 FKN524817:FKN524820 FUJ524817:FUJ524820 GEF524817:GEF524820 GOB524817:GOB524820 GXX524817:GXX524820 HHT524817:HHT524820 HRP524817:HRP524820 IBL524817:IBL524820 ILH524817:ILH524820 IVD524817:IVD524820 JEZ524817:JEZ524820 JOV524817:JOV524820 JYR524817:JYR524820 KIN524817:KIN524820 KSJ524817:KSJ524820 LCF524817:LCF524820 LMB524817:LMB524820 LVX524817:LVX524820 MFT524817:MFT524820 MPP524817:MPP524820 MZL524817:MZL524820 NJH524817:NJH524820 NTD524817:NTD524820 OCZ524817:OCZ524820 OMV524817:OMV524820 OWR524817:OWR524820 PGN524817:PGN524820 PQJ524817:PQJ524820 QAF524817:QAF524820 QKB524817:QKB524820 QTX524817:QTX524820 RDT524817:RDT524820 RNP524817:RNP524820 RXL524817:RXL524820 SHH524817:SHH524820 SRD524817:SRD524820 TAZ524817:TAZ524820 TKV524817:TKV524820 TUR524817:TUR524820 UEN524817:UEN524820 UOJ524817:UOJ524820 UYF524817:UYF524820 VIB524817:VIB524820 VRX524817:VRX524820 WBT524817:WBT524820 WLP524817:WLP524820 WVL524817:WVL524820 D590353:D590356 IZ590353:IZ590356 SV590353:SV590356 ACR590353:ACR590356 AMN590353:AMN590356 AWJ590353:AWJ590356 BGF590353:BGF590356 BQB590353:BQB590356 BZX590353:BZX590356 CJT590353:CJT590356 CTP590353:CTP590356 DDL590353:DDL590356 DNH590353:DNH590356 DXD590353:DXD590356 EGZ590353:EGZ590356 EQV590353:EQV590356 FAR590353:FAR590356 FKN590353:FKN590356 FUJ590353:FUJ590356 GEF590353:GEF590356 GOB590353:GOB590356 GXX590353:GXX590356 HHT590353:HHT590356 HRP590353:HRP590356 IBL590353:IBL590356 ILH590353:ILH590356 IVD590353:IVD590356 JEZ590353:JEZ590356 JOV590353:JOV590356 JYR590353:JYR590356 KIN590353:KIN590356 KSJ590353:KSJ590356 LCF590353:LCF590356 LMB590353:LMB590356 LVX590353:LVX590356 MFT590353:MFT590356 MPP590353:MPP590356 MZL590353:MZL590356 NJH590353:NJH590356 NTD590353:NTD590356 OCZ590353:OCZ590356 OMV590353:OMV590356 OWR590353:OWR590356 PGN590353:PGN590356 PQJ590353:PQJ590356 QAF590353:QAF590356 QKB590353:QKB590356 QTX590353:QTX590356 RDT590353:RDT590356 RNP590353:RNP590356 RXL590353:RXL590356 SHH590353:SHH590356 SRD590353:SRD590356 TAZ590353:TAZ590356 TKV590353:TKV590356 TUR590353:TUR590356 UEN590353:UEN590356 UOJ590353:UOJ590356 UYF590353:UYF590356 VIB590353:VIB590356 VRX590353:VRX590356 WBT590353:WBT590356 WLP590353:WLP590356 WVL590353:WVL590356 D655889:D655892 IZ655889:IZ655892 SV655889:SV655892 ACR655889:ACR655892 AMN655889:AMN655892 AWJ655889:AWJ655892 BGF655889:BGF655892 BQB655889:BQB655892 BZX655889:BZX655892 CJT655889:CJT655892 CTP655889:CTP655892 DDL655889:DDL655892 DNH655889:DNH655892 DXD655889:DXD655892 EGZ655889:EGZ655892 EQV655889:EQV655892 FAR655889:FAR655892 FKN655889:FKN655892 FUJ655889:FUJ655892 GEF655889:GEF655892 GOB655889:GOB655892 GXX655889:GXX655892 HHT655889:HHT655892 HRP655889:HRP655892 IBL655889:IBL655892 ILH655889:ILH655892 IVD655889:IVD655892 JEZ655889:JEZ655892 JOV655889:JOV655892 JYR655889:JYR655892 KIN655889:KIN655892 KSJ655889:KSJ655892 LCF655889:LCF655892 LMB655889:LMB655892 LVX655889:LVX655892 MFT655889:MFT655892 MPP655889:MPP655892 MZL655889:MZL655892 NJH655889:NJH655892 NTD655889:NTD655892 OCZ655889:OCZ655892 OMV655889:OMV655892 OWR655889:OWR655892 PGN655889:PGN655892 PQJ655889:PQJ655892 QAF655889:QAF655892 QKB655889:QKB655892 QTX655889:QTX655892 RDT655889:RDT655892 RNP655889:RNP655892 RXL655889:RXL655892 SHH655889:SHH655892 SRD655889:SRD655892 TAZ655889:TAZ655892 TKV655889:TKV655892 TUR655889:TUR655892 UEN655889:UEN655892 UOJ655889:UOJ655892 UYF655889:UYF655892 VIB655889:VIB655892 VRX655889:VRX655892 WBT655889:WBT655892 WLP655889:WLP655892 WVL655889:WVL655892 D721425:D721428 IZ721425:IZ721428 SV721425:SV721428 ACR721425:ACR721428 AMN721425:AMN721428 AWJ721425:AWJ721428 BGF721425:BGF721428 BQB721425:BQB721428 BZX721425:BZX721428 CJT721425:CJT721428 CTP721425:CTP721428 DDL721425:DDL721428 DNH721425:DNH721428 DXD721425:DXD721428 EGZ721425:EGZ721428 EQV721425:EQV721428 FAR721425:FAR721428 FKN721425:FKN721428 FUJ721425:FUJ721428 GEF721425:GEF721428 GOB721425:GOB721428 GXX721425:GXX721428 HHT721425:HHT721428 HRP721425:HRP721428 IBL721425:IBL721428 ILH721425:ILH721428 IVD721425:IVD721428 JEZ721425:JEZ721428 JOV721425:JOV721428 JYR721425:JYR721428 KIN721425:KIN721428 KSJ721425:KSJ721428 LCF721425:LCF721428 LMB721425:LMB721428 LVX721425:LVX721428 MFT721425:MFT721428 MPP721425:MPP721428 MZL721425:MZL721428 NJH721425:NJH721428 NTD721425:NTD721428 OCZ721425:OCZ721428 OMV721425:OMV721428 OWR721425:OWR721428 PGN721425:PGN721428 PQJ721425:PQJ721428 QAF721425:QAF721428 QKB721425:QKB721428 QTX721425:QTX721428 RDT721425:RDT721428 RNP721425:RNP721428 RXL721425:RXL721428 SHH721425:SHH721428 SRD721425:SRD721428 TAZ721425:TAZ721428 TKV721425:TKV721428 TUR721425:TUR721428 UEN721425:UEN721428 UOJ721425:UOJ721428 UYF721425:UYF721428 VIB721425:VIB721428 VRX721425:VRX721428 WBT721425:WBT721428 WLP721425:WLP721428 WVL721425:WVL721428 D786961:D786964 IZ786961:IZ786964 SV786961:SV786964 ACR786961:ACR786964 AMN786961:AMN786964 AWJ786961:AWJ786964 BGF786961:BGF786964 BQB786961:BQB786964 BZX786961:BZX786964 CJT786961:CJT786964 CTP786961:CTP786964 DDL786961:DDL786964 DNH786961:DNH786964 DXD786961:DXD786964 EGZ786961:EGZ786964 EQV786961:EQV786964 FAR786961:FAR786964 FKN786961:FKN786964 FUJ786961:FUJ786964 GEF786961:GEF786964 GOB786961:GOB786964 GXX786961:GXX786964 HHT786961:HHT786964 HRP786961:HRP786964 IBL786961:IBL786964 ILH786961:ILH786964 IVD786961:IVD786964 JEZ786961:JEZ786964 JOV786961:JOV786964 JYR786961:JYR786964 KIN786961:KIN786964 KSJ786961:KSJ786964 LCF786961:LCF786964 LMB786961:LMB786964 LVX786961:LVX786964 MFT786961:MFT786964 MPP786961:MPP786964 MZL786961:MZL786964 NJH786961:NJH786964 NTD786961:NTD786964 OCZ786961:OCZ786964 OMV786961:OMV786964 OWR786961:OWR786964 PGN786961:PGN786964 PQJ786961:PQJ786964 QAF786961:QAF786964 QKB786961:QKB786964 QTX786961:QTX786964 RDT786961:RDT786964 RNP786961:RNP786964 RXL786961:RXL786964 SHH786961:SHH786964 SRD786961:SRD786964 TAZ786961:TAZ786964 TKV786961:TKV786964 TUR786961:TUR786964 UEN786961:UEN786964 UOJ786961:UOJ786964 UYF786961:UYF786964 VIB786961:VIB786964 VRX786961:VRX786964 WBT786961:WBT786964 WLP786961:WLP786964 WVL786961:WVL786964 D852497:D852500 IZ852497:IZ852500 SV852497:SV852500 ACR852497:ACR852500 AMN852497:AMN852500 AWJ852497:AWJ852500 BGF852497:BGF852500 BQB852497:BQB852500 BZX852497:BZX852500 CJT852497:CJT852500 CTP852497:CTP852500 DDL852497:DDL852500 DNH852497:DNH852500 DXD852497:DXD852500 EGZ852497:EGZ852500 EQV852497:EQV852500 FAR852497:FAR852500 FKN852497:FKN852500 FUJ852497:FUJ852500 GEF852497:GEF852500 GOB852497:GOB852500 GXX852497:GXX852500 HHT852497:HHT852500 HRP852497:HRP852500 IBL852497:IBL852500 ILH852497:ILH852500 IVD852497:IVD852500 JEZ852497:JEZ852500 JOV852497:JOV852500 JYR852497:JYR852500 KIN852497:KIN852500 KSJ852497:KSJ852500 LCF852497:LCF852500 LMB852497:LMB852500 LVX852497:LVX852500 MFT852497:MFT852500 MPP852497:MPP852500 MZL852497:MZL852500 NJH852497:NJH852500 NTD852497:NTD852500 OCZ852497:OCZ852500 OMV852497:OMV852500 OWR852497:OWR852500 PGN852497:PGN852500 PQJ852497:PQJ852500 QAF852497:QAF852500 QKB852497:QKB852500 QTX852497:QTX852500 RDT852497:RDT852500 RNP852497:RNP852500 RXL852497:RXL852500 SHH852497:SHH852500 SRD852497:SRD852500 TAZ852497:TAZ852500 TKV852497:TKV852500 TUR852497:TUR852500 UEN852497:UEN852500 UOJ852497:UOJ852500 UYF852497:UYF852500 VIB852497:VIB852500 VRX852497:VRX852500 WBT852497:WBT852500 WLP852497:WLP852500 WVL852497:WVL852500 D918033:D918036 IZ918033:IZ918036 SV918033:SV918036 ACR918033:ACR918036 AMN918033:AMN918036 AWJ918033:AWJ918036 BGF918033:BGF918036 BQB918033:BQB918036 BZX918033:BZX918036 CJT918033:CJT918036 CTP918033:CTP918036 DDL918033:DDL918036 DNH918033:DNH918036 DXD918033:DXD918036 EGZ918033:EGZ918036 EQV918033:EQV918036 FAR918033:FAR918036 FKN918033:FKN918036 FUJ918033:FUJ918036 GEF918033:GEF918036 GOB918033:GOB918036 GXX918033:GXX918036 HHT918033:HHT918036 HRP918033:HRP918036 IBL918033:IBL918036 ILH918033:ILH918036 IVD918033:IVD918036 JEZ918033:JEZ918036 JOV918033:JOV918036 JYR918033:JYR918036 KIN918033:KIN918036 KSJ918033:KSJ918036 LCF918033:LCF918036 LMB918033:LMB918036 LVX918033:LVX918036 MFT918033:MFT918036 MPP918033:MPP918036 MZL918033:MZL918036 NJH918033:NJH918036 NTD918033:NTD918036 OCZ918033:OCZ918036 OMV918033:OMV918036 OWR918033:OWR918036 PGN918033:PGN918036 PQJ918033:PQJ918036 QAF918033:QAF918036 QKB918033:QKB918036 QTX918033:QTX918036 RDT918033:RDT918036 RNP918033:RNP918036 RXL918033:RXL918036 SHH918033:SHH918036 SRD918033:SRD918036 TAZ918033:TAZ918036 TKV918033:TKV918036 TUR918033:TUR918036 UEN918033:UEN918036 UOJ918033:UOJ918036 UYF918033:UYF918036 VIB918033:VIB918036 VRX918033:VRX918036 WBT918033:WBT918036 WLP918033:WLP918036 WVL918033:WVL918036 D983569:D983572 IZ983569:IZ983572 SV983569:SV983572 ACR983569:ACR983572 AMN983569:AMN983572 AWJ983569:AWJ983572 BGF983569:BGF983572 BQB983569:BQB983572 BZX983569:BZX983572 CJT983569:CJT983572 CTP983569:CTP983572 DDL983569:DDL983572 DNH983569:DNH983572 DXD983569:DXD983572 EGZ983569:EGZ983572 EQV983569:EQV983572 FAR983569:FAR983572 FKN983569:FKN983572 FUJ983569:FUJ983572 GEF983569:GEF983572 GOB983569:GOB983572 GXX983569:GXX983572 HHT983569:HHT983572 HRP983569:HRP983572 IBL983569:IBL983572 ILH983569:ILH983572 IVD983569:IVD983572 JEZ983569:JEZ983572 JOV983569:JOV983572 JYR983569:JYR983572 KIN983569:KIN983572 KSJ983569:KSJ983572 LCF983569:LCF983572 LMB983569:LMB983572 LVX983569:LVX983572 MFT983569:MFT983572 MPP983569:MPP983572 MZL983569:MZL983572 NJH983569:NJH983572 NTD983569:NTD983572 OCZ983569:OCZ983572 OMV983569:OMV983572 OWR983569:OWR983572 PGN983569:PGN983572 PQJ983569:PQJ983572 QAF983569:QAF983572 QKB983569:QKB983572 QTX983569:QTX983572 RDT983569:RDT983572 RNP983569:RNP983572 RXL983569:RXL983572 SHH983569:SHH983572 SRD983569:SRD983572 TAZ983569:TAZ983572 TKV983569:TKV983572 TUR983569:TUR983572 UEN983569:UEN983572 UOJ983569:UOJ983572 UYF983569:UYF983572 VIB983569:VIB983572 VRX983569:VRX983572 WBT983569:WBT983572 WLP983569:WLP983572 WVL983569:WVL983572" xr:uid="{00000000-0002-0000-0300-000000000000}">
      <formula1>$V$518:$AB$518</formula1>
    </dataValidation>
    <dataValidation type="list" allowBlank="1" showInputMessage="1" showErrorMessage="1" sqref="C524:C527 IY524:IY527 SU524:SU527 ACQ524:ACQ527 AMM524:AMM527 AWI524:AWI527 BGE524:BGE527 BQA524:BQA527 BZW524:BZW527 CJS524:CJS527 CTO524:CTO527 DDK524:DDK527 DNG524:DNG527 DXC524:DXC527 EGY524:EGY527 EQU524:EQU527 FAQ524:FAQ527 FKM524:FKM527 FUI524:FUI527 GEE524:GEE527 GOA524:GOA527 GXW524:GXW527 HHS524:HHS527 HRO524:HRO527 IBK524:IBK527 ILG524:ILG527 IVC524:IVC527 JEY524:JEY527 JOU524:JOU527 JYQ524:JYQ527 KIM524:KIM527 KSI524:KSI527 LCE524:LCE527 LMA524:LMA527 LVW524:LVW527 MFS524:MFS527 MPO524:MPO527 MZK524:MZK527 NJG524:NJG527 NTC524:NTC527 OCY524:OCY527 OMU524:OMU527 OWQ524:OWQ527 PGM524:PGM527 PQI524:PQI527 QAE524:QAE527 QKA524:QKA527 QTW524:QTW527 RDS524:RDS527 RNO524:RNO527 RXK524:RXK527 SHG524:SHG527 SRC524:SRC527 TAY524:TAY527 TKU524:TKU527 TUQ524:TUQ527 UEM524:UEM527 UOI524:UOI527 UYE524:UYE527 VIA524:VIA527 VRW524:VRW527 WBS524:WBS527 WLO524:WLO527 WVK524:WVK527 C66065:C66068 IY66065:IY66068 SU66065:SU66068 ACQ66065:ACQ66068 AMM66065:AMM66068 AWI66065:AWI66068 BGE66065:BGE66068 BQA66065:BQA66068 BZW66065:BZW66068 CJS66065:CJS66068 CTO66065:CTO66068 DDK66065:DDK66068 DNG66065:DNG66068 DXC66065:DXC66068 EGY66065:EGY66068 EQU66065:EQU66068 FAQ66065:FAQ66068 FKM66065:FKM66068 FUI66065:FUI66068 GEE66065:GEE66068 GOA66065:GOA66068 GXW66065:GXW66068 HHS66065:HHS66068 HRO66065:HRO66068 IBK66065:IBK66068 ILG66065:ILG66068 IVC66065:IVC66068 JEY66065:JEY66068 JOU66065:JOU66068 JYQ66065:JYQ66068 KIM66065:KIM66068 KSI66065:KSI66068 LCE66065:LCE66068 LMA66065:LMA66068 LVW66065:LVW66068 MFS66065:MFS66068 MPO66065:MPO66068 MZK66065:MZK66068 NJG66065:NJG66068 NTC66065:NTC66068 OCY66065:OCY66068 OMU66065:OMU66068 OWQ66065:OWQ66068 PGM66065:PGM66068 PQI66065:PQI66068 QAE66065:QAE66068 QKA66065:QKA66068 QTW66065:QTW66068 RDS66065:RDS66068 RNO66065:RNO66068 RXK66065:RXK66068 SHG66065:SHG66068 SRC66065:SRC66068 TAY66065:TAY66068 TKU66065:TKU66068 TUQ66065:TUQ66068 UEM66065:UEM66068 UOI66065:UOI66068 UYE66065:UYE66068 VIA66065:VIA66068 VRW66065:VRW66068 WBS66065:WBS66068 WLO66065:WLO66068 WVK66065:WVK66068 C131601:C131604 IY131601:IY131604 SU131601:SU131604 ACQ131601:ACQ131604 AMM131601:AMM131604 AWI131601:AWI131604 BGE131601:BGE131604 BQA131601:BQA131604 BZW131601:BZW131604 CJS131601:CJS131604 CTO131601:CTO131604 DDK131601:DDK131604 DNG131601:DNG131604 DXC131601:DXC131604 EGY131601:EGY131604 EQU131601:EQU131604 FAQ131601:FAQ131604 FKM131601:FKM131604 FUI131601:FUI131604 GEE131601:GEE131604 GOA131601:GOA131604 GXW131601:GXW131604 HHS131601:HHS131604 HRO131601:HRO131604 IBK131601:IBK131604 ILG131601:ILG131604 IVC131601:IVC131604 JEY131601:JEY131604 JOU131601:JOU131604 JYQ131601:JYQ131604 KIM131601:KIM131604 KSI131601:KSI131604 LCE131601:LCE131604 LMA131601:LMA131604 LVW131601:LVW131604 MFS131601:MFS131604 MPO131601:MPO131604 MZK131601:MZK131604 NJG131601:NJG131604 NTC131601:NTC131604 OCY131601:OCY131604 OMU131601:OMU131604 OWQ131601:OWQ131604 PGM131601:PGM131604 PQI131601:PQI131604 QAE131601:QAE131604 QKA131601:QKA131604 QTW131601:QTW131604 RDS131601:RDS131604 RNO131601:RNO131604 RXK131601:RXK131604 SHG131601:SHG131604 SRC131601:SRC131604 TAY131601:TAY131604 TKU131601:TKU131604 TUQ131601:TUQ131604 UEM131601:UEM131604 UOI131601:UOI131604 UYE131601:UYE131604 VIA131601:VIA131604 VRW131601:VRW131604 WBS131601:WBS131604 WLO131601:WLO131604 WVK131601:WVK131604 C197137:C197140 IY197137:IY197140 SU197137:SU197140 ACQ197137:ACQ197140 AMM197137:AMM197140 AWI197137:AWI197140 BGE197137:BGE197140 BQA197137:BQA197140 BZW197137:BZW197140 CJS197137:CJS197140 CTO197137:CTO197140 DDK197137:DDK197140 DNG197137:DNG197140 DXC197137:DXC197140 EGY197137:EGY197140 EQU197137:EQU197140 FAQ197137:FAQ197140 FKM197137:FKM197140 FUI197137:FUI197140 GEE197137:GEE197140 GOA197137:GOA197140 GXW197137:GXW197140 HHS197137:HHS197140 HRO197137:HRO197140 IBK197137:IBK197140 ILG197137:ILG197140 IVC197137:IVC197140 JEY197137:JEY197140 JOU197137:JOU197140 JYQ197137:JYQ197140 KIM197137:KIM197140 KSI197137:KSI197140 LCE197137:LCE197140 LMA197137:LMA197140 LVW197137:LVW197140 MFS197137:MFS197140 MPO197137:MPO197140 MZK197137:MZK197140 NJG197137:NJG197140 NTC197137:NTC197140 OCY197137:OCY197140 OMU197137:OMU197140 OWQ197137:OWQ197140 PGM197137:PGM197140 PQI197137:PQI197140 QAE197137:QAE197140 QKA197137:QKA197140 QTW197137:QTW197140 RDS197137:RDS197140 RNO197137:RNO197140 RXK197137:RXK197140 SHG197137:SHG197140 SRC197137:SRC197140 TAY197137:TAY197140 TKU197137:TKU197140 TUQ197137:TUQ197140 UEM197137:UEM197140 UOI197137:UOI197140 UYE197137:UYE197140 VIA197137:VIA197140 VRW197137:VRW197140 WBS197137:WBS197140 WLO197137:WLO197140 WVK197137:WVK197140 C262673:C262676 IY262673:IY262676 SU262673:SU262676 ACQ262673:ACQ262676 AMM262673:AMM262676 AWI262673:AWI262676 BGE262673:BGE262676 BQA262673:BQA262676 BZW262673:BZW262676 CJS262673:CJS262676 CTO262673:CTO262676 DDK262673:DDK262676 DNG262673:DNG262676 DXC262673:DXC262676 EGY262673:EGY262676 EQU262673:EQU262676 FAQ262673:FAQ262676 FKM262673:FKM262676 FUI262673:FUI262676 GEE262673:GEE262676 GOA262673:GOA262676 GXW262673:GXW262676 HHS262673:HHS262676 HRO262673:HRO262676 IBK262673:IBK262676 ILG262673:ILG262676 IVC262673:IVC262676 JEY262673:JEY262676 JOU262673:JOU262676 JYQ262673:JYQ262676 KIM262673:KIM262676 KSI262673:KSI262676 LCE262673:LCE262676 LMA262673:LMA262676 LVW262673:LVW262676 MFS262673:MFS262676 MPO262673:MPO262676 MZK262673:MZK262676 NJG262673:NJG262676 NTC262673:NTC262676 OCY262673:OCY262676 OMU262673:OMU262676 OWQ262673:OWQ262676 PGM262673:PGM262676 PQI262673:PQI262676 QAE262673:QAE262676 QKA262673:QKA262676 QTW262673:QTW262676 RDS262673:RDS262676 RNO262673:RNO262676 RXK262673:RXK262676 SHG262673:SHG262676 SRC262673:SRC262676 TAY262673:TAY262676 TKU262673:TKU262676 TUQ262673:TUQ262676 UEM262673:UEM262676 UOI262673:UOI262676 UYE262673:UYE262676 VIA262673:VIA262676 VRW262673:VRW262676 WBS262673:WBS262676 WLO262673:WLO262676 WVK262673:WVK262676 C328209:C328212 IY328209:IY328212 SU328209:SU328212 ACQ328209:ACQ328212 AMM328209:AMM328212 AWI328209:AWI328212 BGE328209:BGE328212 BQA328209:BQA328212 BZW328209:BZW328212 CJS328209:CJS328212 CTO328209:CTO328212 DDK328209:DDK328212 DNG328209:DNG328212 DXC328209:DXC328212 EGY328209:EGY328212 EQU328209:EQU328212 FAQ328209:FAQ328212 FKM328209:FKM328212 FUI328209:FUI328212 GEE328209:GEE328212 GOA328209:GOA328212 GXW328209:GXW328212 HHS328209:HHS328212 HRO328209:HRO328212 IBK328209:IBK328212 ILG328209:ILG328212 IVC328209:IVC328212 JEY328209:JEY328212 JOU328209:JOU328212 JYQ328209:JYQ328212 KIM328209:KIM328212 KSI328209:KSI328212 LCE328209:LCE328212 LMA328209:LMA328212 LVW328209:LVW328212 MFS328209:MFS328212 MPO328209:MPO328212 MZK328209:MZK328212 NJG328209:NJG328212 NTC328209:NTC328212 OCY328209:OCY328212 OMU328209:OMU328212 OWQ328209:OWQ328212 PGM328209:PGM328212 PQI328209:PQI328212 QAE328209:QAE328212 QKA328209:QKA328212 QTW328209:QTW328212 RDS328209:RDS328212 RNO328209:RNO328212 RXK328209:RXK328212 SHG328209:SHG328212 SRC328209:SRC328212 TAY328209:TAY328212 TKU328209:TKU328212 TUQ328209:TUQ328212 UEM328209:UEM328212 UOI328209:UOI328212 UYE328209:UYE328212 VIA328209:VIA328212 VRW328209:VRW328212 WBS328209:WBS328212 WLO328209:WLO328212 WVK328209:WVK328212 C393745:C393748 IY393745:IY393748 SU393745:SU393748 ACQ393745:ACQ393748 AMM393745:AMM393748 AWI393745:AWI393748 BGE393745:BGE393748 BQA393745:BQA393748 BZW393745:BZW393748 CJS393745:CJS393748 CTO393745:CTO393748 DDK393745:DDK393748 DNG393745:DNG393748 DXC393745:DXC393748 EGY393745:EGY393748 EQU393745:EQU393748 FAQ393745:FAQ393748 FKM393745:FKM393748 FUI393745:FUI393748 GEE393745:GEE393748 GOA393745:GOA393748 GXW393745:GXW393748 HHS393745:HHS393748 HRO393745:HRO393748 IBK393745:IBK393748 ILG393745:ILG393748 IVC393745:IVC393748 JEY393745:JEY393748 JOU393745:JOU393748 JYQ393745:JYQ393748 KIM393745:KIM393748 KSI393745:KSI393748 LCE393745:LCE393748 LMA393745:LMA393748 LVW393745:LVW393748 MFS393745:MFS393748 MPO393745:MPO393748 MZK393745:MZK393748 NJG393745:NJG393748 NTC393745:NTC393748 OCY393745:OCY393748 OMU393745:OMU393748 OWQ393745:OWQ393748 PGM393745:PGM393748 PQI393745:PQI393748 QAE393745:QAE393748 QKA393745:QKA393748 QTW393745:QTW393748 RDS393745:RDS393748 RNO393745:RNO393748 RXK393745:RXK393748 SHG393745:SHG393748 SRC393745:SRC393748 TAY393745:TAY393748 TKU393745:TKU393748 TUQ393745:TUQ393748 UEM393745:UEM393748 UOI393745:UOI393748 UYE393745:UYE393748 VIA393745:VIA393748 VRW393745:VRW393748 WBS393745:WBS393748 WLO393745:WLO393748 WVK393745:WVK393748 C459281:C459284 IY459281:IY459284 SU459281:SU459284 ACQ459281:ACQ459284 AMM459281:AMM459284 AWI459281:AWI459284 BGE459281:BGE459284 BQA459281:BQA459284 BZW459281:BZW459284 CJS459281:CJS459284 CTO459281:CTO459284 DDK459281:DDK459284 DNG459281:DNG459284 DXC459281:DXC459284 EGY459281:EGY459284 EQU459281:EQU459284 FAQ459281:FAQ459284 FKM459281:FKM459284 FUI459281:FUI459284 GEE459281:GEE459284 GOA459281:GOA459284 GXW459281:GXW459284 HHS459281:HHS459284 HRO459281:HRO459284 IBK459281:IBK459284 ILG459281:ILG459284 IVC459281:IVC459284 JEY459281:JEY459284 JOU459281:JOU459284 JYQ459281:JYQ459284 KIM459281:KIM459284 KSI459281:KSI459284 LCE459281:LCE459284 LMA459281:LMA459284 LVW459281:LVW459284 MFS459281:MFS459284 MPO459281:MPO459284 MZK459281:MZK459284 NJG459281:NJG459284 NTC459281:NTC459284 OCY459281:OCY459284 OMU459281:OMU459284 OWQ459281:OWQ459284 PGM459281:PGM459284 PQI459281:PQI459284 QAE459281:QAE459284 QKA459281:QKA459284 QTW459281:QTW459284 RDS459281:RDS459284 RNO459281:RNO459284 RXK459281:RXK459284 SHG459281:SHG459284 SRC459281:SRC459284 TAY459281:TAY459284 TKU459281:TKU459284 TUQ459281:TUQ459284 UEM459281:UEM459284 UOI459281:UOI459284 UYE459281:UYE459284 VIA459281:VIA459284 VRW459281:VRW459284 WBS459281:WBS459284 WLO459281:WLO459284 WVK459281:WVK459284 C524817:C524820 IY524817:IY524820 SU524817:SU524820 ACQ524817:ACQ524820 AMM524817:AMM524820 AWI524817:AWI524820 BGE524817:BGE524820 BQA524817:BQA524820 BZW524817:BZW524820 CJS524817:CJS524820 CTO524817:CTO524820 DDK524817:DDK524820 DNG524817:DNG524820 DXC524817:DXC524820 EGY524817:EGY524820 EQU524817:EQU524820 FAQ524817:FAQ524820 FKM524817:FKM524820 FUI524817:FUI524820 GEE524817:GEE524820 GOA524817:GOA524820 GXW524817:GXW524820 HHS524817:HHS524820 HRO524817:HRO524820 IBK524817:IBK524820 ILG524817:ILG524820 IVC524817:IVC524820 JEY524817:JEY524820 JOU524817:JOU524820 JYQ524817:JYQ524820 KIM524817:KIM524820 KSI524817:KSI524820 LCE524817:LCE524820 LMA524817:LMA524820 LVW524817:LVW524820 MFS524817:MFS524820 MPO524817:MPO524820 MZK524817:MZK524820 NJG524817:NJG524820 NTC524817:NTC524820 OCY524817:OCY524820 OMU524817:OMU524820 OWQ524817:OWQ524820 PGM524817:PGM524820 PQI524817:PQI524820 QAE524817:QAE524820 QKA524817:QKA524820 QTW524817:QTW524820 RDS524817:RDS524820 RNO524817:RNO524820 RXK524817:RXK524820 SHG524817:SHG524820 SRC524817:SRC524820 TAY524817:TAY524820 TKU524817:TKU524820 TUQ524817:TUQ524820 UEM524817:UEM524820 UOI524817:UOI524820 UYE524817:UYE524820 VIA524817:VIA524820 VRW524817:VRW524820 WBS524817:WBS524820 WLO524817:WLO524820 WVK524817:WVK524820 C590353:C590356 IY590353:IY590356 SU590353:SU590356 ACQ590353:ACQ590356 AMM590353:AMM590356 AWI590353:AWI590356 BGE590353:BGE590356 BQA590353:BQA590356 BZW590353:BZW590356 CJS590353:CJS590356 CTO590353:CTO590356 DDK590353:DDK590356 DNG590353:DNG590356 DXC590353:DXC590356 EGY590353:EGY590356 EQU590353:EQU590356 FAQ590353:FAQ590356 FKM590353:FKM590356 FUI590353:FUI590356 GEE590353:GEE590356 GOA590353:GOA590356 GXW590353:GXW590356 HHS590353:HHS590356 HRO590353:HRO590356 IBK590353:IBK590356 ILG590353:ILG590356 IVC590353:IVC590356 JEY590353:JEY590356 JOU590353:JOU590356 JYQ590353:JYQ590356 KIM590353:KIM590356 KSI590353:KSI590356 LCE590353:LCE590356 LMA590353:LMA590356 LVW590353:LVW590356 MFS590353:MFS590356 MPO590353:MPO590356 MZK590353:MZK590356 NJG590353:NJG590356 NTC590353:NTC590356 OCY590353:OCY590356 OMU590353:OMU590356 OWQ590353:OWQ590356 PGM590353:PGM590356 PQI590353:PQI590356 QAE590353:QAE590356 QKA590353:QKA590356 QTW590353:QTW590356 RDS590353:RDS590356 RNO590353:RNO590356 RXK590353:RXK590356 SHG590353:SHG590356 SRC590353:SRC590356 TAY590353:TAY590356 TKU590353:TKU590356 TUQ590353:TUQ590356 UEM590353:UEM590356 UOI590353:UOI590356 UYE590353:UYE590356 VIA590353:VIA590356 VRW590353:VRW590356 WBS590353:WBS590356 WLO590353:WLO590356 WVK590353:WVK590356 C655889:C655892 IY655889:IY655892 SU655889:SU655892 ACQ655889:ACQ655892 AMM655889:AMM655892 AWI655889:AWI655892 BGE655889:BGE655892 BQA655889:BQA655892 BZW655889:BZW655892 CJS655889:CJS655892 CTO655889:CTO655892 DDK655889:DDK655892 DNG655889:DNG655892 DXC655889:DXC655892 EGY655889:EGY655892 EQU655889:EQU655892 FAQ655889:FAQ655892 FKM655889:FKM655892 FUI655889:FUI655892 GEE655889:GEE655892 GOA655889:GOA655892 GXW655889:GXW655892 HHS655889:HHS655892 HRO655889:HRO655892 IBK655889:IBK655892 ILG655889:ILG655892 IVC655889:IVC655892 JEY655889:JEY655892 JOU655889:JOU655892 JYQ655889:JYQ655892 KIM655889:KIM655892 KSI655889:KSI655892 LCE655889:LCE655892 LMA655889:LMA655892 LVW655889:LVW655892 MFS655889:MFS655892 MPO655889:MPO655892 MZK655889:MZK655892 NJG655889:NJG655892 NTC655889:NTC655892 OCY655889:OCY655892 OMU655889:OMU655892 OWQ655889:OWQ655892 PGM655889:PGM655892 PQI655889:PQI655892 QAE655889:QAE655892 QKA655889:QKA655892 QTW655889:QTW655892 RDS655889:RDS655892 RNO655889:RNO655892 RXK655889:RXK655892 SHG655889:SHG655892 SRC655889:SRC655892 TAY655889:TAY655892 TKU655889:TKU655892 TUQ655889:TUQ655892 UEM655889:UEM655892 UOI655889:UOI655892 UYE655889:UYE655892 VIA655889:VIA655892 VRW655889:VRW655892 WBS655889:WBS655892 WLO655889:WLO655892 WVK655889:WVK655892 C721425:C721428 IY721425:IY721428 SU721425:SU721428 ACQ721425:ACQ721428 AMM721425:AMM721428 AWI721425:AWI721428 BGE721425:BGE721428 BQA721425:BQA721428 BZW721425:BZW721428 CJS721425:CJS721428 CTO721425:CTO721428 DDK721425:DDK721428 DNG721425:DNG721428 DXC721425:DXC721428 EGY721425:EGY721428 EQU721425:EQU721428 FAQ721425:FAQ721428 FKM721425:FKM721428 FUI721425:FUI721428 GEE721425:GEE721428 GOA721425:GOA721428 GXW721425:GXW721428 HHS721425:HHS721428 HRO721425:HRO721428 IBK721425:IBK721428 ILG721425:ILG721428 IVC721425:IVC721428 JEY721425:JEY721428 JOU721425:JOU721428 JYQ721425:JYQ721428 KIM721425:KIM721428 KSI721425:KSI721428 LCE721425:LCE721428 LMA721425:LMA721428 LVW721425:LVW721428 MFS721425:MFS721428 MPO721425:MPO721428 MZK721425:MZK721428 NJG721425:NJG721428 NTC721425:NTC721428 OCY721425:OCY721428 OMU721425:OMU721428 OWQ721425:OWQ721428 PGM721425:PGM721428 PQI721425:PQI721428 QAE721425:QAE721428 QKA721425:QKA721428 QTW721425:QTW721428 RDS721425:RDS721428 RNO721425:RNO721428 RXK721425:RXK721428 SHG721425:SHG721428 SRC721425:SRC721428 TAY721425:TAY721428 TKU721425:TKU721428 TUQ721425:TUQ721428 UEM721425:UEM721428 UOI721425:UOI721428 UYE721425:UYE721428 VIA721425:VIA721428 VRW721425:VRW721428 WBS721425:WBS721428 WLO721425:WLO721428 WVK721425:WVK721428 C786961:C786964 IY786961:IY786964 SU786961:SU786964 ACQ786961:ACQ786964 AMM786961:AMM786964 AWI786961:AWI786964 BGE786961:BGE786964 BQA786961:BQA786964 BZW786961:BZW786964 CJS786961:CJS786964 CTO786961:CTO786964 DDK786961:DDK786964 DNG786961:DNG786964 DXC786961:DXC786964 EGY786961:EGY786964 EQU786961:EQU786964 FAQ786961:FAQ786964 FKM786961:FKM786964 FUI786961:FUI786964 GEE786961:GEE786964 GOA786961:GOA786964 GXW786961:GXW786964 HHS786961:HHS786964 HRO786961:HRO786964 IBK786961:IBK786964 ILG786961:ILG786964 IVC786961:IVC786964 JEY786961:JEY786964 JOU786961:JOU786964 JYQ786961:JYQ786964 KIM786961:KIM786964 KSI786961:KSI786964 LCE786961:LCE786964 LMA786961:LMA786964 LVW786961:LVW786964 MFS786961:MFS786964 MPO786961:MPO786964 MZK786961:MZK786964 NJG786961:NJG786964 NTC786961:NTC786964 OCY786961:OCY786964 OMU786961:OMU786964 OWQ786961:OWQ786964 PGM786961:PGM786964 PQI786961:PQI786964 QAE786961:QAE786964 QKA786961:QKA786964 QTW786961:QTW786964 RDS786961:RDS786964 RNO786961:RNO786964 RXK786961:RXK786964 SHG786961:SHG786964 SRC786961:SRC786964 TAY786961:TAY786964 TKU786961:TKU786964 TUQ786961:TUQ786964 UEM786961:UEM786964 UOI786961:UOI786964 UYE786961:UYE786964 VIA786961:VIA786964 VRW786961:VRW786964 WBS786961:WBS786964 WLO786961:WLO786964 WVK786961:WVK786964 C852497:C852500 IY852497:IY852500 SU852497:SU852500 ACQ852497:ACQ852500 AMM852497:AMM852500 AWI852497:AWI852500 BGE852497:BGE852500 BQA852497:BQA852500 BZW852497:BZW852500 CJS852497:CJS852500 CTO852497:CTO852500 DDK852497:DDK852500 DNG852497:DNG852500 DXC852497:DXC852500 EGY852497:EGY852500 EQU852497:EQU852500 FAQ852497:FAQ852500 FKM852497:FKM852500 FUI852497:FUI852500 GEE852497:GEE852500 GOA852497:GOA852500 GXW852497:GXW852500 HHS852497:HHS852500 HRO852497:HRO852500 IBK852497:IBK852500 ILG852497:ILG852500 IVC852497:IVC852500 JEY852497:JEY852500 JOU852497:JOU852500 JYQ852497:JYQ852500 KIM852497:KIM852500 KSI852497:KSI852500 LCE852497:LCE852500 LMA852497:LMA852500 LVW852497:LVW852500 MFS852497:MFS852500 MPO852497:MPO852500 MZK852497:MZK852500 NJG852497:NJG852500 NTC852497:NTC852500 OCY852497:OCY852500 OMU852497:OMU852500 OWQ852497:OWQ852500 PGM852497:PGM852500 PQI852497:PQI852500 QAE852497:QAE852500 QKA852497:QKA852500 QTW852497:QTW852500 RDS852497:RDS852500 RNO852497:RNO852500 RXK852497:RXK852500 SHG852497:SHG852500 SRC852497:SRC852500 TAY852497:TAY852500 TKU852497:TKU852500 TUQ852497:TUQ852500 UEM852497:UEM852500 UOI852497:UOI852500 UYE852497:UYE852500 VIA852497:VIA852500 VRW852497:VRW852500 WBS852497:WBS852500 WLO852497:WLO852500 WVK852497:WVK852500 C918033:C918036 IY918033:IY918036 SU918033:SU918036 ACQ918033:ACQ918036 AMM918033:AMM918036 AWI918033:AWI918036 BGE918033:BGE918036 BQA918033:BQA918036 BZW918033:BZW918036 CJS918033:CJS918036 CTO918033:CTO918036 DDK918033:DDK918036 DNG918033:DNG918036 DXC918033:DXC918036 EGY918033:EGY918036 EQU918033:EQU918036 FAQ918033:FAQ918036 FKM918033:FKM918036 FUI918033:FUI918036 GEE918033:GEE918036 GOA918033:GOA918036 GXW918033:GXW918036 HHS918033:HHS918036 HRO918033:HRO918036 IBK918033:IBK918036 ILG918033:ILG918036 IVC918033:IVC918036 JEY918033:JEY918036 JOU918033:JOU918036 JYQ918033:JYQ918036 KIM918033:KIM918036 KSI918033:KSI918036 LCE918033:LCE918036 LMA918033:LMA918036 LVW918033:LVW918036 MFS918033:MFS918036 MPO918033:MPO918036 MZK918033:MZK918036 NJG918033:NJG918036 NTC918033:NTC918036 OCY918033:OCY918036 OMU918033:OMU918036 OWQ918033:OWQ918036 PGM918033:PGM918036 PQI918033:PQI918036 QAE918033:QAE918036 QKA918033:QKA918036 QTW918033:QTW918036 RDS918033:RDS918036 RNO918033:RNO918036 RXK918033:RXK918036 SHG918033:SHG918036 SRC918033:SRC918036 TAY918033:TAY918036 TKU918033:TKU918036 TUQ918033:TUQ918036 UEM918033:UEM918036 UOI918033:UOI918036 UYE918033:UYE918036 VIA918033:VIA918036 VRW918033:VRW918036 WBS918033:WBS918036 WLO918033:WLO918036 WVK918033:WVK918036 C983569:C983572 IY983569:IY983572 SU983569:SU983572 ACQ983569:ACQ983572 AMM983569:AMM983572 AWI983569:AWI983572 BGE983569:BGE983572 BQA983569:BQA983572 BZW983569:BZW983572 CJS983569:CJS983572 CTO983569:CTO983572 DDK983569:DDK983572 DNG983569:DNG983572 DXC983569:DXC983572 EGY983569:EGY983572 EQU983569:EQU983572 FAQ983569:FAQ983572 FKM983569:FKM983572 FUI983569:FUI983572 GEE983569:GEE983572 GOA983569:GOA983572 GXW983569:GXW983572 HHS983569:HHS983572 HRO983569:HRO983572 IBK983569:IBK983572 ILG983569:ILG983572 IVC983569:IVC983572 JEY983569:JEY983572 JOU983569:JOU983572 JYQ983569:JYQ983572 KIM983569:KIM983572 KSI983569:KSI983572 LCE983569:LCE983572 LMA983569:LMA983572 LVW983569:LVW983572 MFS983569:MFS983572 MPO983569:MPO983572 MZK983569:MZK983572 NJG983569:NJG983572 NTC983569:NTC983572 OCY983569:OCY983572 OMU983569:OMU983572 OWQ983569:OWQ983572 PGM983569:PGM983572 PQI983569:PQI983572 QAE983569:QAE983572 QKA983569:QKA983572 QTW983569:QTW983572 RDS983569:RDS983572 RNO983569:RNO983572 RXK983569:RXK983572 SHG983569:SHG983572 SRC983569:SRC983572 TAY983569:TAY983572 TKU983569:TKU983572 TUQ983569:TUQ983572 UEM983569:UEM983572 UOI983569:UOI983572 UYE983569:UYE983572 VIA983569:VIA983572 VRW983569:VRW983572 WBS983569:WBS983572 WLO983569:WLO983572 WVK983569:WVK983572" xr:uid="{00000000-0002-0000-0300-000001000000}">
      <formula1>$U$519:$U$522</formula1>
    </dataValidation>
    <dataValidation type="list" allowBlank="1" showInputMessage="1" showErrorMessage="1" sqref="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50:C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C131086:C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C196622:C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C262158:C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C327694:C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C393230:C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C458766:C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C524302:C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C589838:C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C655374:C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C720910:C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C786446:C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C851982:C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C917518:C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C983054:C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xr:uid="{00000000-0002-0000-0300-000002000000}">
      <formula1>$AI$3:$AI$9</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00000000-0002-0000-0300-000003000000}">
      <formula1>$AG$2:$AG$5</formula1>
    </dataValidation>
    <dataValidation type="list" allowBlank="1" showInputMessage="1"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xr:uid="{00000000-0002-0000-0300-000004000000}">
      <formula1>$AC$2:$AC$5</formula1>
    </dataValidation>
    <dataValidation type="list" allowBlank="1" showInputMessage="1" showErrorMessage="1" sqref="F383 JB383 SX383 ACT383 AMP383 AWL383 BGH383 BQD383 BZZ383 CJV383 CTR383 DDN383 DNJ383 DXF383 EHB383 EQX383 FAT383 FKP383 FUL383 GEH383 GOD383 GXZ383 HHV383 HRR383 IBN383 ILJ383 IVF383 JFB383 JOX383 JYT383 KIP383 KSL383 LCH383 LMD383 LVZ383 MFV383 MPR383 MZN383 NJJ383 NTF383 ODB383 OMX383 OWT383 PGP383 PQL383 QAH383 QKD383 QTZ383 RDV383 RNR383 RXN383 SHJ383 SRF383 TBB383 TKX383 TUT383 UEP383 UOL383 UYH383 VID383 VRZ383 WBV383 WLR383 WVN383 F65924 JB65924 SX65924 ACT65924 AMP65924 AWL65924 BGH65924 BQD65924 BZZ65924 CJV65924 CTR65924 DDN65924 DNJ65924 DXF65924 EHB65924 EQX65924 FAT65924 FKP65924 FUL65924 GEH65924 GOD65924 GXZ65924 HHV65924 HRR65924 IBN65924 ILJ65924 IVF65924 JFB65924 JOX65924 JYT65924 KIP65924 KSL65924 LCH65924 LMD65924 LVZ65924 MFV65924 MPR65924 MZN65924 NJJ65924 NTF65924 ODB65924 OMX65924 OWT65924 PGP65924 PQL65924 QAH65924 QKD65924 QTZ65924 RDV65924 RNR65924 RXN65924 SHJ65924 SRF65924 TBB65924 TKX65924 TUT65924 UEP65924 UOL65924 UYH65924 VID65924 VRZ65924 WBV65924 WLR65924 WVN65924 F131460 JB131460 SX131460 ACT131460 AMP131460 AWL131460 BGH131460 BQD131460 BZZ131460 CJV131460 CTR131460 DDN131460 DNJ131460 DXF131460 EHB131460 EQX131460 FAT131460 FKP131460 FUL131460 GEH131460 GOD131460 GXZ131460 HHV131460 HRR131460 IBN131460 ILJ131460 IVF131460 JFB131460 JOX131460 JYT131460 KIP131460 KSL131460 LCH131460 LMD131460 LVZ131460 MFV131460 MPR131460 MZN131460 NJJ131460 NTF131460 ODB131460 OMX131460 OWT131460 PGP131460 PQL131460 QAH131460 QKD131460 QTZ131460 RDV131460 RNR131460 RXN131460 SHJ131460 SRF131460 TBB131460 TKX131460 TUT131460 UEP131460 UOL131460 UYH131460 VID131460 VRZ131460 WBV131460 WLR131460 WVN131460 F196996 JB196996 SX196996 ACT196996 AMP196996 AWL196996 BGH196996 BQD196996 BZZ196996 CJV196996 CTR196996 DDN196996 DNJ196996 DXF196996 EHB196996 EQX196996 FAT196996 FKP196996 FUL196996 GEH196996 GOD196996 GXZ196996 HHV196996 HRR196996 IBN196996 ILJ196996 IVF196996 JFB196996 JOX196996 JYT196996 KIP196996 KSL196996 LCH196996 LMD196996 LVZ196996 MFV196996 MPR196996 MZN196996 NJJ196996 NTF196996 ODB196996 OMX196996 OWT196996 PGP196996 PQL196996 QAH196996 QKD196996 QTZ196996 RDV196996 RNR196996 RXN196996 SHJ196996 SRF196996 TBB196996 TKX196996 TUT196996 UEP196996 UOL196996 UYH196996 VID196996 VRZ196996 WBV196996 WLR196996 WVN196996 F262532 JB262532 SX262532 ACT262532 AMP262532 AWL262532 BGH262532 BQD262532 BZZ262532 CJV262532 CTR262532 DDN262532 DNJ262532 DXF262532 EHB262532 EQX262532 FAT262532 FKP262532 FUL262532 GEH262532 GOD262532 GXZ262532 HHV262532 HRR262532 IBN262532 ILJ262532 IVF262532 JFB262532 JOX262532 JYT262532 KIP262532 KSL262532 LCH262532 LMD262532 LVZ262532 MFV262532 MPR262532 MZN262532 NJJ262532 NTF262532 ODB262532 OMX262532 OWT262532 PGP262532 PQL262532 QAH262532 QKD262532 QTZ262532 RDV262532 RNR262532 RXN262532 SHJ262532 SRF262532 TBB262532 TKX262532 TUT262532 UEP262532 UOL262532 UYH262532 VID262532 VRZ262532 WBV262532 WLR262532 WVN262532 F328068 JB328068 SX328068 ACT328068 AMP328068 AWL328068 BGH328068 BQD328068 BZZ328068 CJV328068 CTR328068 DDN328068 DNJ328068 DXF328068 EHB328068 EQX328068 FAT328068 FKP328068 FUL328068 GEH328068 GOD328068 GXZ328068 HHV328068 HRR328068 IBN328068 ILJ328068 IVF328068 JFB328068 JOX328068 JYT328068 KIP328068 KSL328068 LCH328068 LMD328068 LVZ328068 MFV328068 MPR328068 MZN328068 NJJ328068 NTF328068 ODB328068 OMX328068 OWT328068 PGP328068 PQL328068 QAH328068 QKD328068 QTZ328068 RDV328068 RNR328068 RXN328068 SHJ328068 SRF328068 TBB328068 TKX328068 TUT328068 UEP328068 UOL328068 UYH328068 VID328068 VRZ328068 WBV328068 WLR328068 WVN328068 F393604 JB393604 SX393604 ACT393604 AMP393604 AWL393604 BGH393604 BQD393604 BZZ393604 CJV393604 CTR393604 DDN393604 DNJ393604 DXF393604 EHB393604 EQX393604 FAT393604 FKP393604 FUL393604 GEH393604 GOD393604 GXZ393604 HHV393604 HRR393604 IBN393604 ILJ393604 IVF393604 JFB393604 JOX393604 JYT393604 KIP393604 KSL393604 LCH393604 LMD393604 LVZ393604 MFV393604 MPR393604 MZN393604 NJJ393604 NTF393604 ODB393604 OMX393604 OWT393604 PGP393604 PQL393604 QAH393604 QKD393604 QTZ393604 RDV393604 RNR393604 RXN393604 SHJ393604 SRF393604 TBB393604 TKX393604 TUT393604 UEP393604 UOL393604 UYH393604 VID393604 VRZ393604 WBV393604 WLR393604 WVN393604 F459140 JB459140 SX459140 ACT459140 AMP459140 AWL459140 BGH459140 BQD459140 BZZ459140 CJV459140 CTR459140 DDN459140 DNJ459140 DXF459140 EHB459140 EQX459140 FAT459140 FKP459140 FUL459140 GEH459140 GOD459140 GXZ459140 HHV459140 HRR459140 IBN459140 ILJ459140 IVF459140 JFB459140 JOX459140 JYT459140 KIP459140 KSL459140 LCH459140 LMD459140 LVZ459140 MFV459140 MPR459140 MZN459140 NJJ459140 NTF459140 ODB459140 OMX459140 OWT459140 PGP459140 PQL459140 QAH459140 QKD459140 QTZ459140 RDV459140 RNR459140 RXN459140 SHJ459140 SRF459140 TBB459140 TKX459140 TUT459140 UEP459140 UOL459140 UYH459140 VID459140 VRZ459140 WBV459140 WLR459140 WVN459140 F524676 JB524676 SX524676 ACT524676 AMP524676 AWL524676 BGH524676 BQD524676 BZZ524676 CJV524676 CTR524676 DDN524676 DNJ524676 DXF524676 EHB524676 EQX524676 FAT524676 FKP524676 FUL524676 GEH524676 GOD524676 GXZ524676 HHV524676 HRR524676 IBN524676 ILJ524676 IVF524676 JFB524676 JOX524676 JYT524676 KIP524676 KSL524676 LCH524676 LMD524676 LVZ524676 MFV524676 MPR524676 MZN524676 NJJ524676 NTF524676 ODB524676 OMX524676 OWT524676 PGP524676 PQL524676 QAH524676 QKD524676 QTZ524676 RDV524676 RNR524676 RXN524676 SHJ524676 SRF524676 TBB524676 TKX524676 TUT524676 UEP524676 UOL524676 UYH524676 VID524676 VRZ524676 WBV524676 WLR524676 WVN524676 F590212 JB590212 SX590212 ACT590212 AMP590212 AWL590212 BGH590212 BQD590212 BZZ590212 CJV590212 CTR590212 DDN590212 DNJ590212 DXF590212 EHB590212 EQX590212 FAT590212 FKP590212 FUL590212 GEH590212 GOD590212 GXZ590212 HHV590212 HRR590212 IBN590212 ILJ590212 IVF590212 JFB590212 JOX590212 JYT590212 KIP590212 KSL590212 LCH590212 LMD590212 LVZ590212 MFV590212 MPR590212 MZN590212 NJJ590212 NTF590212 ODB590212 OMX590212 OWT590212 PGP590212 PQL590212 QAH590212 QKD590212 QTZ590212 RDV590212 RNR590212 RXN590212 SHJ590212 SRF590212 TBB590212 TKX590212 TUT590212 UEP590212 UOL590212 UYH590212 VID590212 VRZ590212 WBV590212 WLR590212 WVN590212 F655748 JB655748 SX655748 ACT655748 AMP655748 AWL655748 BGH655748 BQD655748 BZZ655748 CJV655748 CTR655748 DDN655748 DNJ655748 DXF655748 EHB655748 EQX655748 FAT655748 FKP655748 FUL655748 GEH655748 GOD655748 GXZ655748 HHV655748 HRR655748 IBN655748 ILJ655748 IVF655748 JFB655748 JOX655748 JYT655748 KIP655748 KSL655748 LCH655748 LMD655748 LVZ655748 MFV655748 MPR655748 MZN655748 NJJ655748 NTF655748 ODB655748 OMX655748 OWT655748 PGP655748 PQL655748 QAH655748 QKD655748 QTZ655748 RDV655748 RNR655748 RXN655748 SHJ655748 SRF655748 TBB655748 TKX655748 TUT655748 UEP655748 UOL655748 UYH655748 VID655748 VRZ655748 WBV655748 WLR655748 WVN655748 F721284 JB721284 SX721284 ACT721284 AMP721284 AWL721284 BGH721284 BQD721284 BZZ721284 CJV721284 CTR721284 DDN721284 DNJ721284 DXF721284 EHB721284 EQX721284 FAT721284 FKP721284 FUL721284 GEH721284 GOD721284 GXZ721284 HHV721284 HRR721284 IBN721284 ILJ721284 IVF721284 JFB721284 JOX721284 JYT721284 KIP721284 KSL721284 LCH721284 LMD721284 LVZ721284 MFV721284 MPR721284 MZN721284 NJJ721284 NTF721284 ODB721284 OMX721284 OWT721284 PGP721284 PQL721284 QAH721284 QKD721284 QTZ721284 RDV721284 RNR721284 RXN721284 SHJ721284 SRF721284 TBB721284 TKX721284 TUT721284 UEP721284 UOL721284 UYH721284 VID721284 VRZ721284 WBV721284 WLR721284 WVN721284 F786820 JB786820 SX786820 ACT786820 AMP786820 AWL786820 BGH786820 BQD786820 BZZ786820 CJV786820 CTR786820 DDN786820 DNJ786820 DXF786820 EHB786820 EQX786820 FAT786820 FKP786820 FUL786820 GEH786820 GOD786820 GXZ786820 HHV786820 HRR786820 IBN786820 ILJ786820 IVF786820 JFB786820 JOX786820 JYT786820 KIP786820 KSL786820 LCH786820 LMD786820 LVZ786820 MFV786820 MPR786820 MZN786820 NJJ786820 NTF786820 ODB786820 OMX786820 OWT786820 PGP786820 PQL786820 QAH786820 QKD786820 QTZ786820 RDV786820 RNR786820 RXN786820 SHJ786820 SRF786820 TBB786820 TKX786820 TUT786820 UEP786820 UOL786820 UYH786820 VID786820 VRZ786820 WBV786820 WLR786820 WVN786820 F852356 JB852356 SX852356 ACT852356 AMP852356 AWL852356 BGH852356 BQD852356 BZZ852356 CJV852356 CTR852356 DDN852356 DNJ852356 DXF852356 EHB852356 EQX852356 FAT852356 FKP852356 FUL852356 GEH852356 GOD852356 GXZ852356 HHV852356 HRR852356 IBN852356 ILJ852356 IVF852356 JFB852356 JOX852356 JYT852356 KIP852356 KSL852356 LCH852356 LMD852356 LVZ852356 MFV852356 MPR852356 MZN852356 NJJ852356 NTF852356 ODB852356 OMX852356 OWT852356 PGP852356 PQL852356 QAH852356 QKD852356 QTZ852356 RDV852356 RNR852356 RXN852356 SHJ852356 SRF852356 TBB852356 TKX852356 TUT852356 UEP852356 UOL852356 UYH852356 VID852356 VRZ852356 WBV852356 WLR852356 WVN852356 F917892 JB917892 SX917892 ACT917892 AMP917892 AWL917892 BGH917892 BQD917892 BZZ917892 CJV917892 CTR917892 DDN917892 DNJ917892 DXF917892 EHB917892 EQX917892 FAT917892 FKP917892 FUL917892 GEH917892 GOD917892 GXZ917892 HHV917892 HRR917892 IBN917892 ILJ917892 IVF917892 JFB917892 JOX917892 JYT917892 KIP917892 KSL917892 LCH917892 LMD917892 LVZ917892 MFV917892 MPR917892 MZN917892 NJJ917892 NTF917892 ODB917892 OMX917892 OWT917892 PGP917892 PQL917892 QAH917892 QKD917892 QTZ917892 RDV917892 RNR917892 RXN917892 SHJ917892 SRF917892 TBB917892 TKX917892 TUT917892 UEP917892 UOL917892 UYH917892 VID917892 VRZ917892 WBV917892 WLR917892 WVN917892 F983428 JB983428 SX983428 ACT983428 AMP983428 AWL983428 BGH983428 BQD983428 BZZ983428 CJV983428 CTR983428 DDN983428 DNJ983428 DXF983428 EHB983428 EQX983428 FAT983428 FKP983428 FUL983428 GEH983428 GOD983428 GXZ983428 HHV983428 HRR983428 IBN983428 ILJ983428 IVF983428 JFB983428 JOX983428 JYT983428 KIP983428 KSL983428 LCH983428 LMD983428 LVZ983428 MFV983428 MPR983428 MZN983428 NJJ983428 NTF983428 ODB983428 OMX983428 OWT983428 PGP983428 PQL983428 QAH983428 QKD983428 QTZ983428 RDV983428 RNR983428 RXN983428 SHJ983428 SRF983428 TBB983428 TKX983428 TUT983428 UEP983428 UOL983428 UYH983428 VID983428 VRZ983428 WBV983428 WLR983428 WVN983428" xr:uid="{00000000-0002-0000-0300-000005000000}">
      <formula1>$AA$354:$AA$355</formula1>
    </dataValidation>
    <dataValidation type="list" allowBlank="1" showInputMessage="1" showErrorMessage="1" sqref="F326 JB326 SX326 ACT326 AMP326 AWL326 BGH326 BQD326 BZZ326 CJV326 CTR326 DDN326 DNJ326 DXF326 EHB326 EQX326 FAT326 FKP326 FUL326 GEH326 GOD326 GXZ326 HHV326 HRR326 IBN326 ILJ326 IVF326 JFB326 JOX326 JYT326 KIP326 KSL326 LCH326 LMD326 LVZ326 MFV326 MPR326 MZN326 NJJ326 NTF326 ODB326 OMX326 OWT326 PGP326 PQL326 QAH326 QKD326 QTZ326 RDV326 RNR326 RXN326 SHJ326 SRF326 TBB326 TKX326 TUT326 UEP326 UOL326 UYH326 VID326 VRZ326 WBV326 WLR326 WVN326 F65867 JB65867 SX65867 ACT65867 AMP65867 AWL65867 BGH65867 BQD65867 BZZ65867 CJV65867 CTR65867 DDN65867 DNJ65867 DXF65867 EHB65867 EQX65867 FAT65867 FKP65867 FUL65867 GEH65867 GOD65867 GXZ65867 HHV65867 HRR65867 IBN65867 ILJ65867 IVF65867 JFB65867 JOX65867 JYT65867 KIP65867 KSL65867 LCH65867 LMD65867 LVZ65867 MFV65867 MPR65867 MZN65867 NJJ65867 NTF65867 ODB65867 OMX65867 OWT65867 PGP65867 PQL65867 QAH65867 QKD65867 QTZ65867 RDV65867 RNR65867 RXN65867 SHJ65867 SRF65867 TBB65867 TKX65867 TUT65867 UEP65867 UOL65867 UYH65867 VID65867 VRZ65867 WBV65867 WLR65867 WVN65867 F131403 JB131403 SX131403 ACT131403 AMP131403 AWL131403 BGH131403 BQD131403 BZZ131403 CJV131403 CTR131403 DDN131403 DNJ131403 DXF131403 EHB131403 EQX131403 FAT131403 FKP131403 FUL131403 GEH131403 GOD131403 GXZ131403 HHV131403 HRR131403 IBN131403 ILJ131403 IVF131403 JFB131403 JOX131403 JYT131403 KIP131403 KSL131403 LCH131403 LMD131403 LVZ131403 MFV131403 MPR131403 MZN131403 NJJ131403 NTF131403 ODB131403 OMX131403 OWT131403 PGP131403 PQL131403 QAH131403 QKD131403 QTZ131403 RDV131403 RNR131403 RXN131403 SHJ131403 SRF131403 TBB131403 TKX131403 TUT131403 UEP131403 UOL131403 UYH131403 VID131403 VRZ131403 WBV131403 WLR131403 WVN131403 F196939 JB196939 SX196939 ACT196939 AMP196939 AWL196939 BGH196939 BQD196939 BZZ196939 CJV196939 CTR196939 DDN196939 DNJ196939 DXF196939 EHB196939 EQX196939 FAT196939 FKP196939 FUL196939 GEH196939 GOD196939 GXZ196939 HHV196939 HRR196939 IBN196939 ILJ196939 IVF196939 JFB196939 JOX196939 JYT196939 KIP196939 KSL196939 LCH196939 LMD196939 LVZ196939 MFV196939 MPR196939 MZN196939 NJJ196939 NTF196939 ODB196939 OMX196939 OWT196939 PGP196939 PQL196939 QAH196939 QKD196939 QTZ196939 RDV196939 RNR196939 RXN196939 SHJ196939 SRF196939 TBB196939 TKX196939 TUT196939 UEP196939 UOL196939 UYH196939 VID196939 VRZ196939 WBV196939 WLR196939 WVN196939 F262475 JB262475 SX262475 ACT262475 AMP262475 AWL262475 BGH262475 BQD262475 BZZ262475 CJV262475 CTR262475 DDN262475 DNJ262475 DXF262475 EHB262475 EQX262475 FAT262475 FKP262475 FUL262475 GEH262475 GOD262475 GXZ262475 HHV262475 HRR262475 IBN262475 ILJ262475 IVF262475 JFB262475 JOX262475 JYT262475 KIP262475 KSL262475 LCH262475 LMD262475 LVZ262475 MFV262475 MPR262475 MZN262475 NJJ262475 NTF262475 ODB262475 OMX262475 OWT262475 PGP262475 PQL262475 QAH262475 QKD262475 QTZ262475 RDV262475 RNR262475 RXN262475 SHJ262475 SRF262475 TBB262475 TKX262475 TUT262475 UEP262475 UOL262475 UYH262475 VID262475 VRZ262475 WBV262475 WLR262475 WVN262475 F328011 JB328011 SX328011 ACT328011 AMP328011 AWL328011 BGH328011 BQD328011 BZZ328011 CJV328011 CTR328011 DDN328011 DNJ328011 DXF328011 EHB328011 EQX328011 FAT328011 FKP328011 FUL328011 GEH328011 GOD328011 GXZ328011 HHV328011 HRR328011 IBN328011 ILJ328011 IVF328011 JFB328011 JOX328011 JYT328011 KIP328011 KSL328011 LCH328011 LMD328011 LVZ328011 MFV328011 MPR328011 MZN328011 NJJ328011 NTF328011 ODB328011 OMX328011 OWT328011 PGP328011 PQL328011 QAH328011 QKD328011 QTZ328011 RDV328011 RNR328011 RXN328011 SHJ328011 SRF328011 TBB328011 TKX328011 TUT328011 UEP328011 UOL328011 UYH328011 VID328011 VRZ328011 WBV328011 WLR328011 WVN328011 F393547 JB393547 SX393547 ACT393547 AMP393547 AWL393547 BGH393547 BQD393547 BZZ393547 CJV393547 CTR393547 DDN393547 DNJ393547 DXF393547 EHB393547 EQX393547 FAT393547 FKP393547 FUL393547 GEH393547 GOD393547 GXZ393547 HHV393547 HRR393547 IBN393547 ILJ393547 IVF393547 JFB393547 JOX393547 JYT393547 KIP393547 KSL393547 LCH393547 LMD393547 LVZ393547 MFV393547 MPR393547 MZN393547 NJJ393547 NTF393547 ODB393547 OMX393547 OWT393547 PGP393547 PQL393547 QAH393547 QKD393547 QTZ393547 RDV393547 RNR393547 RXN393547 SHJ393547 SRF393547 TBB393547 TKX393547 TUT393547 UEP393547 UOL393547 UYH393547 VID393547 VRZ393547 WBV393547 WLR393547 WVN393547 F459083 JB459083 SX459083 ACT459083 AMP459083 AWL459083 BGH459083 BQD459083 BZZ459083 CJV459083 CTR459083 DDN459083 DNJ459083 DXF459083 EHB459083 EQX459083 FAT459083 FKP459083 FUL459083 GEH459083 GOD459083 GXZ459083 HHV459083 HRR459083 IBN459083 ILJ459083 IVF459083 JFB459083 JOX459083 JYT459083 KIP459083 KSL459083 LCH459083 LMD459083 LVZ459083 MFV459083 MPR459083 MZN459083 NJJ459083 NTF459083 ODB459083 OMX459083 OWT459083 PGP459083 PQL459083 QAH459083 QKD459083 QTZ459083 RDV459083 RNR459083 RXN459083 SHJ459083 SRF459083 TBB459083 TKX459083 TUT459083 UEP459083 UOL459083 UYH459083 VID459083 VRZ459083 WBV459083 WLR459083 WVN459083 F524619 JB524619 SX524619 ACT524619 AMP524619 AWL524619 BGH524619 BQD524619 BZZ524619 CJV524619 CTR524619 DDN524619 DNJ524619 DXF524619 EHB524619 EQX524619 FAT524619 FKP524619 FUL524619 GEH524619 GOD524619 GXZ524619 HHV524619 HRR524619 IBN524619 ILJ524619 IVF524619 JFB524619 JOX524619 JYT524619 KIP524619 KSL524619 LCH524619 LMD524619 LVZ524619 MFV524619 MPR524619 MZN524619 NJJ524619 NTF524619 ODB524619 OMX524619 OWT524619 PGP524619 PQL524619 QAH524619 QKD524619 QTZ524619 RDV524619 RNR524619 RXN524619 SHJ524619 SRF524619 TBB524619 TKX524619 TUT524619 UEP524619 UOL524619 UYH524619 VID524619 VRZ524619 WBV524619 WLR524619 WVN524619 F590155 JB590155 SX590155 ACT590155 AMP590155 AWL590155 BGH590155 BQD590155 BZZ590155 CJV590155 CTR590155 DDN590155 DNJ590155 DXF590155 EHB590155 EQX590155 FAT590155 FKP590155 FUL590155 GEH590155 GOD590155 GXZ590155 HHV590155 HRR590155 IBN590155 ILJ590155 IVF590155 JFB590155 JOX590155 JYT590155 KIP590155 KSL590155 LCH590155 LMD590155 LVZ590155 MFV590155 MPR590155 MZN590155 NJJ590155 NTF590155 ODB590155 OMX590155 OWT590155 PGP590155 PQL590155 QAH590155 QKD590155 QTZ590155 RDV590155 RNR590155 RXN590155 SHJ590155 SRF590155 TBB590155 TKX590155 TUT590155 UEP590155 UOL590155 UYH590155 VID590155 VRZ590155 WBV590155 WLR590155 WVN590155 F655691 JB655691 SX655691 ACT655691 AMP655691 AWL655691 BGH655691 BQD655691 BZZ655691 CJV655691 CTR655691 DDN655691 DNJ655691 DXF655691 EHB655691 EQX655691 FAT655691 FKP655691 FUL655691 GEH655691 GOD655691 GXZ655691 HHV655691 HRR655691 IBN655691 ILJ655691 IVF655691 JFB655691 JOX655691 JYT655691 KIP655691 KSL655691 LCH655691 LMD655691 LVZ655691 MFV655691 MPR655691 MZN655691 NJJ655691 NTF655691 ODB655691 OMX655691 OWT655691 PGP655691 PQL655691 QAH655691 QKD655691 QTZ655691 RDV655691 RNR655691 RXN655691 SHJ655691 SRF655691 TBB655691 TKX655691 TUT655691 UEP655691 UOL655691 UYH655691 VID655691 VRZ655691 WBV655691 WLR655691 WVN655691 F721227 JB721227 SX721227 ACT721227 AMP721227 AWL721227 BGH721227 BQD721227 BZZ721227 CJV721227 CTR721227 DDN721227 DNJ721227 DXF721227 EHB721227 EQX721227 FAT721227 FKP721227 FUL721227 GEH721227 GOD721227 GXZ721227 HHV721227 HRR721227 IBN721227 ILJ721227 IVF721227 JFB721227 JOX721227 JYT721227 KIP721227 KSL721227 LCH721227 LMD721227 LVZ721227 MFV721227 MPR721227 MZN721227 NJJ721227 NTF721227 ODB721227 OMX721227 OWT721227 PGP721227 PQL721227 QAH721227 QKD721227 QTZ721227 RDV721227 RNR721227 RXN721227 SHJ721227 SRF721227 TBB721227 TKX721227 TUT721227 UEP721227 UOL721227 UYH721227 VID721227 VRZ721227 WBV721227 WLR721227 WVN721227 F786763 JB786763 SX786763 ACT786763 AMP786763 AWL786763 BGH786763 BQD786763 BZZ786763 CJV786763 CTR786763 DDN786763 DNJ786763 DXF786763 EHB786763 EQX786763 FAT786763 FKP786763 FUL786763 GEH786763 GOD786763 GXZ786763 HHV786763 HRR786763 IBN786763 ILJ786763 IVF786763 JFB786763 JOX786763 JYT786763 KIP786763 KSL786763 LCH786763 LMD786763 LVZ786763 MFV786763 MPR786763 MZN786763 NJJ786763 NTF786763 ODB786763 OMX786763 OWT786763 PGP786763 PQL786763 QAH786763 QKD786763 QTZ786763 RDV786763 RNR786763 RXN786763 SHJ786763 SRF786763 TBB786763 TKX786763 TUT786763 UEP786763 UOL786763 UYH786763 VID786763 VRZ786763 WBV786763 WLR786763 WVN786763 F852299 JB852299 SX852299 ACT852299 AMP852299 AWL852299 BGH852299 BQD852299 BZZ852299 CJV852299 CTR852299 DDN852299 DNJ852299 DXF852299 EHB852299 EQX852299 FAT852299 FKP852299 FUL852299 GEH852299 GOD852299 GXZ852299 HHV852299 HRR852299 IBN852299 ILJ852299 IVF852299 JFB852299 JOX852299 JYT852299 KIP852299 KSL852299 LCH852299 LMD852299 LVZ852299 MFV852299 MPR852299 MZN852299 NJJ852299 NTF852299 ODB852299 OMX852299 OWT852299 PGP852299 PQL852299 QAH852299 QKD852299 QTZ852299 RDV852299 RNR852299 RXN852299 SHJ852299 SRF852299 TBB852299 TKX852299 TUT852299 UEP852299 UOL852299 UYH852299 VID852299 VRZ852299 WBV852299 WLR852299 WVN852299 F917835 JB917835 SX917835 ACT917835 AMP917835 AWL917835 BGH917835 BQD917835 BZZ917835 CJV917835 CTR917835 DDN917835 DNJ917835 DXF917835 EHB917835 EQX917835 FAT917835 FKP917835 FUL917835 GEH917835 GOD917835 GXZ917835 HHV917835 HRR917835 IBN917835 ILJ917835 IVF917835 JFB917835 JOX917835 JYT917835 KIP917835 KSL917835 LCH917835 LMD917835 LVZ917835 MFV917835 MPR917835 MZN917835 NJJ917835 NTF917835 ODB917835 OMX917835 OWT917835 PGP917835 PQL917835 QAH917835 QKD917835 QTZ917835 RDV917835 RNR917835 RXN917835 SHJ917835 SRF917835 TBB917835 TKX917835 TUT917835 UEP917835 UOL917835 UYH917835 VID917835 VRZ917835 WBV917835 WLR917835 WVN917835 F983371 JB983371 SX983371 ACT983371 AMP983371 AWL983371 BGH983371 BQD983371 BZZ983371 CJV983371 CTR983371 DDN983371 DNJ983371 DXF983371 EHB983371 EQX983371 FAT983371 FKP983371 FUL983371 GEH983371 GOD983371 GXZ983371 HHV983371 HRR983371 IBN983371 ILJ983371 IVF983371 JFB983371 JOX983371 JYT983371 KIP983371 KSL983371 LCH983371 LMD983371 LVZ983371 MFV983371 MPR983371 MZN983371 NJJ983371 NTF983371 ODB983371 OMX983371 OWT983371 PGP983371 PQL983371 QAH983371 QKD983371 QTZ983371 RDV983371 RNR983371 RXN983371 SHJ983371 SRF983371 TBB983371 TKX983371 TUT983371 UEP983371 UOL983371 UYH983371 VID983371 VRZ983371 WBV983371 WLR983371 WVN983371" xr:uid="{00000000-0002-0000-0300-000006000000}">
      <formula1>$S$328:$S$337</formula1>
    </dataValidation>
    <dataValidation type="list" allowBlank="1" showInputMessage="1" showErrorMessage="1" sqref="F325 JB325 SX325 ACT325 AMP325 AWL325 BGH325 BQD325 BZZ325 CJV325 CTR325 DDN325 DNJ325 DXF325 EHB325 EQX325 FAT325 FKP325 FUL325 GEH325 GOD325 GXZ325 HHV325 HRR325 IBN325 ILJ325 IVF325 JFB325 JOX325 JYT325 KIP325 KSL325 LCH325 LMD325 LVZ325 MFV325 MPR325 MZN325 NJJ325 NTF325 ODB325 OMX325 OWT325 PGP325 PQL325 QAH325 QKD325 QTZ325 RDV325 RNR325 RXN325 SHJ325 SRF325 TBB325 TKX325 TUT325 UEP325 UOL325 UYH325 VID325 VRZ325 WBV325 WLR325 WVN325 F65866 JB65866 SX65866 ACT65866 AMP65866 AWL65866 BGH65866 BQD65866 BZZ65866 CJV65866 CTR65866 DDN65866 DNJ65866 DXF65866 EHB65866 EQX65866 FAT65866 FKP65866 FUL65866 GEH65866 GOD65866 GXZ65866 HHV65866 HRR65866 IBN65866 ILJ65866 IVF65866 JFB65866 JOX65866 JYT65866 KIP65866 KSL65866 LCH65866 LMD65866 LVZ65866 MFV65866 MPR65866 MZN65866 NJJ65866 NTF65866 ODB65866 OMX65866 OWT65866 PGP65866 PQL65866 QAH65866 QKD65866 QTZ65866 RDV65866 RNR65866 RXN65866 SHJ65866 SRF65866 TBB65866 TKX65866 TUT65866 UEP65866 UOL65866 UYH65866 VID65866 VRZ65866 WBV65866 WLR65866 WVN65866 F131402 JB131402 SX131402 ACT131402 AMP131402 AWL131402 BGH131402 BQD131402 BZZ131402 CJV131402 CTR131402 DDN131402 DNJ131402 DXF131402 EHB131402 EQX131402 FAT131402 FKP131402 FUL131402 GEH131402 GOD131402 GXZ131402 HHV131402 HRR131402 IBN131402 ILJ131402 IVF131402 JFB131402 JOX131402 JYT131402 KIP131402 KSL131402 LCH131402 LMD131402 LVZ131402 MFV131402 MPR131402 MZN131402 NJJ131402 NTF131402 ODB131402 OMX131402 OWT131402 PGP131402 PQL131402 QAH131402 QKD131402 QTZ131402 RDV131402 RNR131402 RXN131402 SHJ131402 SRF131402 TBB131402 TKX131402 TUT131402 UEP131402 UOL131402 UYH131402 VID131402 VRZ131402 WBV131402 WLR131402 WVN131402 F196938 JB196938 SX196938 ACT196938 AMP196938 AWL196938 BGH196938 BQD196938 BZZ196938 CJV196938 CTR196938 DDN196938 DNJ196938 DXF196938 EHB196938 EQX196938 FAT196938 FKP196938 FUL196938 GEH196938 GOD196938 GXZ196938 HHV196938 HRR196938 IBN196938 ILJ196938 IVF196938 JFB196938 JOX196938 JYT196938 KIP196938 KSL196938 LCH196938 LMD196938 LVZ196938 MFV196938 MPR196938 MZN196938 NJJ196938 NTF196938 ODB196938 OMX196938 OWT196938 PGP196938 PQL196938 QAH196938 QKD196938 QTZ196938 RDV196938 RNR196938 RXN196938 SHJ196938 SRF196938 TBB196938 TKX196938 TUT196938 UEP196938 UOL196938 UYH196938 VID196938 VRZ196938 WBV196938 WLR196938 WVN196938 F262474 JB262474 SX262474 ACT262474 AMP262474 AWL262474 BGH262474 BQD262474 BZZ262474 CJV262474 CTR262474 DDN262474 DNJ262474 DXF262474 EHB262474 EQX262474 FAT262474 FKP262474 FUL262474 GEH262474 GOD262474 GXZ262474 HHV262474 HRR262474 IBN262474 ILJ262474 IVF262474 JFB262474 JOX262474 JYT262474 KIP262474 KSL262474 LCH262474 LMD262474 LVZ262474 MFV262474 MPR262474 MZN262474 NJJ262474 NTF262474 ODB262474 OMX262474 OWT262474 PGP262474 PQL262474 QAH262474 QKD262474 QTZ262474 RDV262474 RNR262474 RXN262474 SHJ262474 SRF262474 TBB262474 TKX262474 TUT262474 UEP262474 UOL262474 UYH262474 VID262474 VRZ262474 WBV262474 WLR262474 WVN262474 F328010 JB328010 SX328010 ACT328010 AMP328010 AWL328010 BGH328010 BQD328010 BZZ328010 CJV328010 CTR328010 DDN328010 DNJ328010 DXF328010 EHB328010 EQX328010 FAT328010 FKP328010 FUL328010 GEH328010 GOD328010 GXZ328010 HHV328010 HRR328010 IBN328010 ILJ328010 IVF328010 JFB328010 JOX328010 JYT328010 KIP328010 KSL328010 LCH328010 LMD328010 LVZ328010 MFV328010 MPR328010 MZN328010 NJJ328010 NTF328010 ODB328010 OMX328010 OWT328010 PGP328010 PQL328010 QAH328010 QKD328010 QTZ328010 RDV328010 RNR328010 RXN328010 SHJ328010 SRF328010 TBB328010 TKX328010 TUT328010 UEP328010 UOL328010 UYH328010 VID328010 VRZ328010 WBV328010 WLR328010 WVN328010 F393546 JB393546 SX393546 ACT393546 AMP393546 AWL393546 BGH393546 BQD393546 BZZ393546 CJV393546 CTR393546 DDN393546 DNJ393546 DXF393546 EHB393546 EQX393546 FAT393546 FKP393546 FUL393546 GEH393546 GOD393546 GXZ393546 HHV393546 HRR393546 IBN393546 ILJ393546 IVF393546 JFB393546 JOX393546 JYT393546 KIP393546 KSL393546 LCH393546 LMD393546 LVZ393546 MFV393546 MPR393546 MZN393546 NJJ393546 NTF393546 ODB393546 OMX393546 OWT393546 PGP393546 PQL393546 QAH393546 QKD393546 QTZ393546 RDV393546 RNR393546 RXN393546 SHJ393546 SRF393546 TBB393546 TKX393546 TUT393546 UEP393546 UOL393546 UYH393546 VID393546 VRZ393546 WBV393546 WLR393546 WVN393546 F459082 JB459082 SX459082 ACT459082 AMP459082 AWL459082 BGH459082 BQD459082 BZZ459082 CJV459082 CTR459082 DDN459082 DNJ459082 DXF459082 EHB459082 EQX459082 FAT459082 FKP459082 FUL459082 GEH459082 GOD459082 GXZ459082 HHV459082 HRR459082 IBN459082 ILJ459082 IVF459082 JFB459082 JOX459082 JYT459082 KIP459082 KSL459082 LCH459082 LMD459082 LVZ459082 MFV459082 MPR459082 MZN459082 NJJ459082 NTF459082 ODB459082 OMX459082 OWT459082 PGP459082 PQL459082 QAH459082 QKD459082 QTZ459082 RDV459082 RNR459082 RXN459082 SHJ459082 SRF459082 TBB459082 TKX459082 TUT459082 UEP459082 UOL459082 UYH459082 VID459082 VRZ459082 WBV459082 WLR459082 WVN459082 F524618 JB524618 SX524618 ACT524618 AMP524618 AWL524618 BGH524618 BQD524618 BZZ524618 CJV524618 CTR524618 DDN524618 DNJ524618 DXF524618 EHB524618 EQX524618 FAT524618 FKP524618 FUL524618 GEH524618 GOD524618 GXZ524618 HHV524618 HRR524618 IBN524618 ILJ524618 IVF524618 JFB524618 JOX524618 JYT524618 KIP524618 KSL524618 LCH524618 LMD524618 LVZ524618 MFV524618 MPR524618 MZN524618 NJJ524618 NTF524618 ODB524618 OMX524618 OWT524618 PGP524618 PQL524618 QAH524618 QKD524618 QTZ524618 RDV524618 RNR524618 RXN524618 SHJ524618 SRF524618 TBB524618 TKX524618 TUT524618 UEP524618 UOL524618 UYH524618 VID524618 VRZ524618 WBV524618 WLR524618 WVN524618 F590154 JB590154 SX590154 ACT590154 AMP590154 AWL590154 BGH590154 BQD590154 BZZ590154 CJV590154 CTR590154 DDN590154 DNJ590154 DXF590154 EHB590154 EQX590154 FAT590154 FKP590154 FUL590154 GEH590154 GOD590154 GXZ590154 HHV590154 HRR590154 IBN590154 ILJ590154 IVF590154 JFB590154 JOX590154 JYT590154 KIP590154 KSL590154 LCH590154 LMD590154 LVZ590154 MFV590154 MPR590154 MZN590154 NJJ590154 NTF590154 ODB590154 OMX590154 OWT590154 PGP590154 PQL590154 QAH590154 QKD590154 QTZ590154 RDV590154 RNR590154 RXN590154 SHJ590154 SRF590154 TBB590154 TKX590154 TUT590154 UEP590154 UOL590154 UYH590154 VID590154 VRZ590154 WBV590154 WLR590154 WVN590154 F655690 JB655690 SX655690 ACT655690 AMP655690 AWL655690 BGH655690 BQD655690 BZZ655690 CJV655690 CTR655690 DDN655690 DNJ655690 DXF655690 EHB655690 EQX655690 FAT655690 FKP655690 FUL655690 GEH655690 GOD655690 GXZ655690 HHV655690 HRR655690 IBN655690 ILJ655690 IVF655690 JFB655690 JOX655690 JYT655690 KIP655690 KSL655690 LCH655690 LMD655690 LVZ655690 MFV655690 MPR655690 MZN655690 NJJ655690 NTF655690 ODB655690 OMX655690 OWT655690 PGP655690 PQL655690 QAH655690 QKD655690 QTZ655690 RDV655690 RNR655690 RXN655690 SHJ655690 SRF655690 TBB655690 TKX655690 TUT655690 UEP655690 UOL655690 UYH655690 VID655690 VRZ655690 WBV655690 WLR655690 WVN655690 F721226 JB721226 SX721226 ACT721226 AMP721226 AWL721226 BGH721226 BQD721226 BZZ721226 CJV721226 CTR721226 DDN721226 DNJ721226 DXF721226 EHB721226 EQX721226 FAT721226 FKP721226 FUL721226 GEH721226 GOD721226 GXZ721226 HHV721226 HRR721226 IBN721226 ILJ721226 IVF721226 JFB721226 JOX721226 JYT721226 KIP721226 KSL721226 LCH721226 LMD721226 LVZ721226 MFV721226 MPR721226 MZN721226 NJJ721226 NTF721226 ODB721226 OMX721226 OWT721226 PGP721226 PQL721226 QAH721226 QKD721226 QTZ721226 RDV721226 RNR721226 RXN721226 SHJ721226 SRF721226 TBB721226 TKX721226 TUT721226 UEP721226 UOL721226 UYH721226 VID721226 VRZ721226 WBV721226 WLR721226 WVN721226 F786762 JB786762 SX786762 ACT786762 AMP786762 AWL786762 BGH786762 BQD786762 BZZ786762 CJV786762 CTR786762 DDN786762 DNJ786762 DXF786762 EHB786762 EQX786762 FAT786762 FKP786762 FUL786762 GEH786762 GOD786762 GXZ786762 HHV786762 HRR786762 IBN786762 ILJ786762 IVF786762 JFB786762 JOX786762 JYT786762 KIP786762 KSL786762 LCH786762 LMD786762 LVZ786762 MFV786762 MPR786762 MZN786762 NJJ786762 NTF786762 ODB786762 OMX786762 OWT786762 PGP786762 PQL786762 QAH786762 QKD786762 QTZ786762 RDV786762 RNR786762 RXN786762 SHJ786762 SRF786762 TBB786762 TKX786762 TUT786762 UEP786762 UOL786762 UYH786762 VID786762 VRZ786762 WBV786762 WLR786762 WVN786762 F852298 JB852298 SX852298 ACT852298 AMP852298 AWL852298 BGH852298 BQD852298 BZZ852298 CJV852298 CTR852298 DDN852298 DNJ852298 DXF852298 EHB852298 EQX852298 FAT852298 FKP852298 FUL852298 GEH852298 GOD852298 GXZ852298 HHV852298 HRR852298 IBN852298 ILJ852298 IVF852298 JFB852298 JOX852298 JYT852298 KIP852298 KSL852298 LCH852298 LMD852298 LVZ852298 MFV852298 MPR852298 MZN852298 NJJ852298 NTF852298 ODB852298 OMX852298 OWT852298 PGP852298 PQL852298 QAH852298 QKD852298 QTZ852298 RDV852298 RNR852298 RXN852298 SHJ852298 SRF852298 TBB852298 TKX852298 TUT852298 UEP852298 UOL852298 UYH852298 VID852298 VRZ852298 WBV852298 WLR852298 WVN852298 F917834 JB917834 SX917834 ACT917834 AMP917834 AWL917834 BGH917834 BQD917834 BZZ917834 CJV917834 CTR917834 DDN917834 DNJ917834 DXF917834 EHB917834 EQX917834 FAT917834 FKP917834 FUL917834 GEH917834 GOD917834 GXZ917834 HHV917834 HRR917834 IBN917834 ILJ917834 IVF917834 JFB917834 JOX917834 JYT917834 KIP917834 KSL917834 LCH917834 LMD917834 LVZ917834 MFV917834 MPR917834 MZN917834 NJJ917834 NTF917834 ODB917834 OMX917834 OWT917834 PGP917834 PQL917834 QAH917834 QKD917834 QTZ917834 RDV917834 RNR917834 RXN917834 SHJ917834 SRF917834 TBB917834 TKX917834 TUT917834 UEP917834 UOL917834 UYH917834 VID917834 VRZ917834 WBV917834 WLR917834 WVN917834 F983370 JB983370 SX983370 ACT983370 AMP983370 AWL983370 BGH983370 BQD983370 BZZ983370 CJV983370 CTR983370 DDN983370 DNJ983370 DXF983370 EHB983370 EQX983370 FAT983370 FKP983370 FUL983370 GEH983370 GOD983370 GXZ983370 HHV983370 HRR983370 IBN983370 ILJ983370 IVF983370 JFB983370 JOX983370 JYT983370 KIP983370 KSL983370 LCH983370 LMD983370 LVZ983370 MFV983370 MPR983370 MZN983370 NJJ983370 NTF983370 ODB983370 OMX983370 OWT983370 PGP983370 PQL983370 QAH983370 QKD983370 QTZ983370 RDV983370 RNR983370 RXN983370 SHJ983370 SRF983370 TBB983370 TKX983370 TUT983370 UEP983370 UOL983370 UYH983370 VID983370 VRZ983370 WBV983370 WLR983370 WVN983370" xr:uid="{00000000-0002-0000-0300-000007000000}">
      <formula1>$T$327:$AD$327</formula1>
    </dataValidation>
    <dataValidation type="list" allowBlank="1" showInputMessage="1" showErrorMessage="1" sqref="D545:D549 IZ545:IZ549 SV545:SV549 ACR545:ACR549 AMN545:AMN549 AWJ545:AWJ549 BGF545:BGF549 BQB545:BQB549 BZX545:BZX549 CJT545:CJT549 CTP545:CTP549 DDL545:DDL549 DNH545:DNH549 DXD545:DXD549 EGZ545:EGZ549 EQV545:EQV549 FAR545:FAR549 FKN545:FKN549 FUJ545:FUJ549 GEF545:GEF549 GOB545:GOB549 GXX545:GXX549 HHT545:HHT549 HRP545:HRP549 IBL545:IBL549 ILH545:ILH549 IVD545:IVD549 JEZ545:JEZ549 JOV545:JOV549 JYR545:JYR549 KIN545:KIN549 KSJ545:KSJ549 LCF545:LCF549 LMB545:LMB549 LVX545:LVX549 MFT545:MFT549 MPP545:MPP549 MZL545:MZL549 NJH545:NJH549 NTD545:NTD549 OCZ545:OCZ549 OMV545:OMV549 OWR545:OWR549 PGN545:PGN549 PQJ545:PQJ549 QAF545:QAF549 QKB545:QKB549 QTX545:QTX549 RDT545:RDT549 RNP545:RNP549 RXL545:RXL549 SHH545:SHH549 SRD545:SRD549 TAZ545:TAZ549 TKV545:TKV549 TUR545:TUR549 UEN545:UEN549 UOJ545:UOJ549 UYF545:UYF549 VIB545:VIB549 VRX545:VRX549 WBT545:WBT549 WLP545:WLP549 WVL545:WVL549 D66086:D66090 IZ66086:IZ66090 SV66086:SV66090 ACR66086:ACR66090 AMN66086:AMN66090 AWJ66086:AWJ66090 BGF66086:BGF66090 BQB66086:BQB66090 BZX66086:BZX66090 CJT66086:CJT66090 CTP66086:CTP66090 DDL66086:DDL66090 DNH66086:DNH66090 DXD66086:DXD66090 EGZ66086:EGZ66090 EQV66086:EQV66090 FAR66086:FAR66090 FKN66086:FKN66090 FUJ66086:FUJ66090 GEF66086:GEF66090 GOB66086:GOB66090 GXX66086:GXX66090 HHT66086:HHT66090 HRP66086:HRP66090 IBL66086:IBL66090 ILH66086:ILH66090 IVD66086:IVD66090 JEZ66086:JEZ66090 JOV66086:JOV66090 JYR66086:JYR66090 KIN66086:KIN66090 KSJ66086:KSJ66090 LCF66086:LCF66090 LMB66086:LMB66090 LVX66086:LVX66090 MFT66086:MFT66090 MPP66086:MPP66090 MZL66086:MZL66090 NJH66086:NJH66090 NTD66086:NTD66090 OCZ66086:OCZ66090 OMV66086:OMV66090 OWR66086:OWR66090 PGN66086:PGN66090 PQJ66086:PQJ66090 QAF66086:QAF66090 QKB66086:QKB66090 QTX66086:QTX66090 RDT66086:RDT66090 RNP66086:RNP66090 RXL66086:RXL66090 SHH66086:SHH66090 SRD66086:SRD66090 TAZ66086:TAZ66090 TKV66086:TKV66090 TUR66086:TUR66090 UEN66086:UEN66090 UOJ66086:UOJ66090 UYF66086:UYF66090 VIB66086:VIB66090 VRX66086:VRX66090 WBT66086:WBT66090 WLP66086:WLP66090 WVL66086:WVL66090 D131622:D131626 IZ131622:IZ131626 SV131622:SV131626 ACR131622:ACR131626 AMN131622:AMN131626 AWJ131622:AWJ131626 BGF131622:BGF131626 BQB131622:BQB131626 BZX131622:BZX131626 CJT131622:CJT131626 CTP131622:CTP131626 DDL131622:DDL131626 DNH131622:DNH131626 DXD131622:DXD131626 EGZ131622:EGZ131626 EQV131622:EQV131626 FAR131622:FAR131626 FKN131622:FKN131626 FUJ131622:FUJ131626 GEF131622:GEF131626 GOB131622:GOB131626 GXX131622:GXX131626 HHT131622:HHT131626 HRP131622:HRP131626 IBL131622:IBL131626 ILH131622:ILH131626 IVD131622:IVD131626 JEZ131622:JEZ131626 JOV131622:JOV131626 JYR131622:JYR131626 KIN131622:KIN131626 KSJ131622:KSJ131626 LCF131622:LCF131626 LMB131622:LMB131626 LVX131622:LVX131626 MFT131622:MFT131626 MPP131622:MPP131626 MZL131622:MZL131626 NJH131622:NJH131626 NTD131622:NTD131626 OCZ131622:OCZ131626 OMV131622:OMV131626 OWR131622:OWR131626 PGN131622:PGN131626 PQJ131622:PQJ131626 QAF131622:QAF131626 QKB131622:QKB131626 QTX131622:QTX131626 RDT131622:RDT131626 RNP131622:RNP131626 RXL131622:RXL131626 SHH131622:SHH131626 SRD131622:SRD131626 TAZ131622:TAZ131626 TKV131622:TKV131626 TUR131622:TUR131626 UEN131622:UEN131626 UOJ131622:UOJ131626 UYF131622:UYF131626 VIB131622:VIB131626 VRX131622:VRX131626 WBT131622:WBT131626 WLP131622:WLP131626 WVL131622:WVL131626 D197158:D197162 IZ197158:IZ197162 SV197158:SV197162 ACR197158:ACR197162 AMN197158:AMN197162 AWJ197158:AWJ197162 BGF197158:BGF197162 BQB197158:BQB197162 BZX197158:BZX197162 CJT197158:CJT197162 CTP197158:CTP197162 DDL197158:DDL197162 DNH197158:DNH197162 DXD197158:DXD197162 EGZ197158:EGZ197162 EQV197158:EQV197162 FAR197158:FAR197162 FKN197158:FKN197162 FUJ197158:FUJ197162 GEF197158:GEF197162 GOB197158:GOB197162 GXX197158:GXX197162 HHT197158:HHT197162 HRP197158:HRP197162 IBL197158:IBL197162 ILH197158:ILH197162 IVD197158:IVD197162 JEZ197158:JEZ197162 JOV197158:JOV197162 JYR197158:JYR197162 KIN197158:KIN197162 KSJ197158:KSJ197162 LCF197158:LCF197162 LMB197158:LMB197162 LVX197158:LVX197162 MFT197158:MFT197162 MPP197158:MPP197162 MZL197158:MZL197162 NJH197158:NJH197162 NTD197158:NTD197162 OCZ197158:OCZ197162 OMV197158:OMV197162 OWR197158:OWR197162 PGN197158:PGN197162 PQJ197158:PQJ197162 QAF197158:QAF197162 QKB197158:QKB197162 QTX197158:QTX197162 RDT197158:RDT197162 RNP197158:RNP197162 RXL197158:RXL197162 SHH197158:SHH197162 SRD197158:SRD197162 TAZ197158:TAZ197162 TKV197158:TKV197162 TUR197158:TUR197162 UEN197158:UEN197162 UOJ197158:UOJ197162 UYF197158:UYF197162 VIB197158:VIB197162 VRX197158:VRX197162 WBT197158:WBT197162 WLP197158:WLP197162 WVL197158:WVL197162 D262694:D262698 IZ262694:IZ262698 SV262694:SV262698 ACR262694:ACR262698 AMN262694:AMN262698 AWJ262694:AWJ262698 BGF262694:BGF262698 BQB262694:BQB262698 BZX262694:BZX262698 CJT262694:CJT262698 CTP262694:CTP262698 DDL262694:DDL262698 DNH262694:DNH262698 DXD262694:DXD262698 EGZ262694:EGZ262698 EQV262694:EQV262698 FAR262694:FAR262698 FKN262694:FKN262698 FUJ262694:FUJ262698 GEF262694:GEF262698 GOB262694:GOB262698 GXX262694:GXX262698 HHT262694:HHT262698 HRP262694:HRP262698 IBL262694:IBL262698 ILH262694:ILH262698 IVD262694:IVD262698 JEZ262694:JEZ262698 JOV262694:JOV262698 JYR262694:JYR262698 KIN262694:KIN262698 KSJ262694:KSJ262698 LCF262694:LCF262698 LMB262694:LMB262698 LVX262694:LVX262698 MFT262694:MFT262698 MPP262694:MPP262698 MZL262694:MZL262698 NJH262694:NJH262698 NTD262694:NTD262698 OCZ262694:OCZ262698 OMV262694:OMV262698 OWR262694:OWR262698 PGN262694:PGN262698 PQJ262694:PQJ262698 QAF262694:QAF262698 QKB262694:QKB262698 QTX262694:QTX262698 RDT262694:RDT262698 RNP262694:RNP262698 RXL262694:RXL262698 SHH262694:SHH262698 SRD262694:SRD262698 TAZ262694:TAZ262698 TKV262694:TKV262698 TUR262694:TUR262698 UEN262694:UEN262698 UOJ262694:UOJ262698 UYF262694:UYF262698 VIB262694:VIB262698 VRX262694:VRX262698 WBT262694:WBT262698 WLP262694:WLP262698 WVL262694:WVL262698 D328230:D328234 IZ328230:IZ328234 SV328230:SV328234 ACR328230:ACR328234 AMN328230:AMN328234 AWJ328230:AWJ328234 BGF328230:BGF328234 BQB328230:BQB328234 BZX328230:BZX328234 CJT328230:CJT328234 CTP328230:CTP328234 DDL328230:DDL328234 DNH328230:DNH328234 DXD328230:DXD328234 EGZ328230:EGZ328234 EQV328230:EQV328234 FAR328230:FAR328234 FKN328230:FKN328234 FUJ328230:FUJ328234 GEF328230:GEF328234 GOB328230:GOB328234 GXX328230:GXX328234 HHT328230:HHT328234 HRP328230:HRP328234 IBL328230:IBL328234 ILH328230:ILH328234 IVD328230:IVD328234 JEZ328230:JEZ328234 JOV328230:JOV328234 JYR328230:JYR328234 KIN328230:KIN328234 KSJ328230:KSJ328234 LCF328230:LCF328234 LMB328230:LMB328234 LVX328230:LVX328234 MFT328230:MFT328234 MPP328230:MPP328234 MZL328230:MZL328234 NJH328230:NJH328234 NTD328230:NTD328234 OCZ328230:OCZ328234 OMV328230:OMV328234 OWR328230:OWR328234 PGN328230:PGN328234 PQJ328230:PQJ328234 QAF328230:QAF328234 QKB328230:QKB328234 QTX328230:QTX328234 RDT328230:RDT328234 RNP328230:RNP328234 RXL328230:RXL328234 SHH328230:SHH328234 SRD328230:SRD328234 TAZ328230:TAZ328234 TKV328230:TKV328234 TUR328230:TUR328234 UEN328230:UEN328234 UOJ328230:UOJ328234 UYF328230:UYF328234 VIB328230:VIB328234 VRX328230:VRX328234 WBT328230:WBT328234 WLP328230:WLP328234 WVL328230:WVL328234 D393766:D393770 IZ393766:IZ393770 SV393766:SV393770 ACR393766:ACR393770 AMN393766:AMN393770 AWJ393766:AWJ393770 BGF393766:BGF393770 BQB393766:BQB393770 BZX393766:BZX393770 CJT393766:CJT393770 CTP393766:CTP393770 DDL393766:DDL393770 DNH393766:DNH393770 DXD393766:DXD393770 EGZ393766:EGZ393770 EQV393766:EQV393770 FAR393766:FAR393770 FKN393766:FKN393770 FUJ393766:FUJ393770 GEF393766:GEF393770 GOB393766:GOB393770 GXX393766:GXX393770 HHT393766:HHT393770 HRP393766:HRP393770 IBL393766:IBL393770 ILH393766:ILH393770 IVD393766:IVD393770 JEZ393766:JEZ393770 JOV393766:JOV393770 JYR393766:JYR393770 KIN393766:KIN393770 KSJ393766:KSJ393770 LCF393766:LCF393770 LMB393766:LMB393770 LVX393766:LVX393770 MFT393766:MFT393770 MPP393766:MPP393770 MZL393766:MZL393770 NJH393766:NJH393770 NTD393766:NTD393770 OCZ393766:OCZ393770 OMV393766:OMV393770 OWR393766:OWR393770 PGN393766:PGN393770 PQJ393766:PQJ393770 QAF393766:QAF393770 QKB393766:QKB393770 QTX393766:QTX393770 RDT393766:RDT393770 RNP393766:RNP393770 RXL393766:RXL393770 SHH393766:SHH393770 SRD393766:SRD393770 TAZ393766:TAZ393770 TKV393766:TKV393770 TUR393766:TUR393770 UEN393766:UEN393770 UOJ393766:UOJ393770 UYF393766:UYF393770 VIB393766:VIB393770 VRX393766:VRX393770 WBT393766:WBT393770 WLP393766:WLP393770 WVL393766:WVL393770 D459302:D459306 IZ459302:IZ459306 SV459302:SV459306 ACR459302:ACR459306 AMN459302:AMN459306 AWJ459302:AWJ459306 BGF459302:BGF459306 BQB459302:BQB459306 BZX459302:BZX459306 CJT459302:CJT459306 CTP459302:CTP459306 DDL459302:DDL459306 DNH459302:DNH459306 DXD459302:DXD459306 EGZ459302:EGZ459306 EQV459302:EQV459306 FAR459302:FAR459306 FKN459302:FKN459306 FUJ459302:FUJ459306 GEF459302:GEF459306 GOB459302:GOB459306 GXX459302:GXX459306 HHT459302:HHT459306 HRP459302:HRP459306 IBL459302:IBL459306 ILH459302:ILH459306 IVD459302:IVD459306 JEZ459302:JEZ459306 JOV459302:JOV459306 JYR459302:JYR459306 KIN459302:KIN459306 KSJ459302:KSJ459306 LCF459302:LCF459306 LMB459302:LMB459306 LVX459302:LVX459306 MFT459302:MFT459306 MPP459302:MPP459306 MZL459302:MZL459306 NJH459302:NJH459306 NTD459302:NTD459306 OCZ459302:OCZ459306 OMV459302:OMV459306 OWR459302:OWR459306 PGN459302:PGN459306 PQJ459302:PQJ459306 QAF459302:QAF459306 QKB459302:QKB459306 QTX459302:QTX459306 RDT459302:RDT459306 RNP459302:RNP459306 RXL459302:RXL459306 SHH459302:SHH459306 SRD459302:SRD459306 TAZ459302:TAZ459306 TKV459302:TKV459306 TUR459302:TUR459306 UEN459302:UEN459306 UOJ459302:UOJ459306 UYF459302:UYF459306 VIB459302:VIB459306 VRX459302:VRX459306 WBT459302:WBT459306 WLP459302:WLP459306 WVL459302:WVL459306 D524838:D524842 IZ524838:IZ524842 SV524838:SV524842 ACR524838:ACR524842 AMN524838:AMN524842 AWJ524838:AWJ524842 BGF524838:BGF524842 BQB524838:BQB524842 BZX524838:BZX524842 CJT524838:CJT524842 CTP524838:CTP524842 DDL524838:DDL524842 DNH524838:DNH524842 DXD524838:DXD524842 EGZ524838:EGZ524842 EQV524838:EQV524842 FAR524838:FAR524842 FKN524838:FKN524842 FUJ524838:FUJ524842 GEF524838:GEF524842 GOB524838:GOB524842 GXX524838:GXX524842 HHT524838:HHT524842 HRP524838:HRP524842 IBL524838:IBL524842 ILH524838:ILH524842 IVD524838:IVD524842 JEZ524838:JEZ524842 JOV524838:JOV524842 JYR524838:JYR524842 KIN524838:KIN524842 KSJ524838:KSJ524842 LCF524838:LCF524842 LMB524838:LMB524842 LVX524838:LVX524842 MFT524838:MFT524842 MPP524838:MPP524842 MZL524838:MZL524842 NJH524838:NJH524842 NTD524838:NTD524842 OCZ524838:OCZ524842 OMV524838:OMV524842 OWR524838:OWR524842 PGN524838:PGN524842 PQJ524838:PQJ524842 QAF524838:QAF524842 QKB524838:QKB524842 QTX524838:QTX524842 RDT524838:RDT524842 RNP524838:RNP524842 RXL524838:RXL524842 SHH524838:SHH524842 SRD524838:SRD524842 TAZ524838:TAZ524842 TKV524838:TKV524842 TUR524838:TUR524842 UEN524838:UEN524842 UOJ524838:UOJ524842 UYF524838:UYF524842 VIB524838:VIB524842 VRX524838:VRX524842 WBT524838:WBT524842 WLP524838:WLP524842 WVL524838:WVL524842 D590374:D590378 IZ590374:IZ590378 SV590374:SV590378 ACR590374:ACR590378 AMN590374:AMN590378 AWJ590374:AWJ590378 BGF590374:BGF590378 BQB590374:BQB590378 BZX590374:BZX590378 CJT590374:CJT590378 CTP590374:CTP590378 DDL590374:DDL590378 DNH590374:DNH590378 DXD590374:DXD590378 EGZ590374:EGZ590378 EQV590374:EQV590378 FAR590374:FAR590378 FKN590374:FKN590378 FUJ590374:FUJ590378 GEF590374:GEF590378 GOB590374:GOB590378 GXX590374:GXX590378 HHT590374:HHT590378 HRP590374:HRP590378 IBL590374:IBL590378 ILH590374:ILH590378 IVD590374:IVD590378 JEZ590374:JEZ590378 JOV590374:JOV590378 JYR590374:JYR590378 KIN590374:KIN590378 KSJ590374:KSJ590378 LCF590374:LCF590378 LMB590374:LMB590378 LVX590374:LVX590378 MFT590374:MFT590378 MPP590374:MPP590378 MZL590374:MZL590378 NJH590374:NJH590378 NTD590374:NTD590378 OCZ590374:OCZ590378 OMV590374:OMV590378 OWR590374:OWR590378 PGN590374:PGN590378 PQJ590374:PQJ590378 QAF590374:QAF590378 QKB590374:QKB590378 QTX590374:QTX590378 RDT590374:RDT590378 RNP590374:RNP590378 RXL590374:RXL590378 SHH590374:SHH590378 SRD590374:SRD590378 TAZ590374:TAZ590378 TKV590374:TKV590378 TUR590374:TUR590378 UEN590374:UEN590378 UOJ590374:UOJ590378 UYF590374:UYF590378 VIB590374:VIB590378 VRX590374:VRX590378 WBT590374:WBT590378 WLP590374:WLP590378 WVL590374:WVL590378 D655910:D655914 IZ655910:IZ655914 SV655910:SV655914 ACR655910:ACR655914 AMN655910:AMN655914 AWJ655910:AWJ655914 BGF655910:BGF655914 BQB655910:BQB655914 BZX655910:BZX655914 CJT655910:CJT655914 CTP655910:CTP655914 DDL655910:DDL655914 DNH655910:DNH655914 DXD655910:DXD655914 EGZ655910:EGZ655914 EQV655910:EQV655914 FAR655910:FAR655914 FKN655910:FKN655914 FUJ655910:FUJ655914 GEF655910:GEF655914 GOB655910:GOB655914 GXX655910:GXX655914 HHT655910:HHT655914 HRP655910:HRP655914 IBL655910:IBL655914 ILH655910:ILH655914 IVD655910:IVD655914 JEZ655910:JEZ655914 JOV655910:JOV655914 JYR655910:JYR655914 KIN655910:KIN655914 KSJ655910:KSJ655914 LCF655910:LCF655914 LMB655910:LMB655914 LVX655910:LVX655914 MFT655910:MFT655914 MPP655910:MPP655914 MZL655910:MZL655914 NJH655910:NJH655914 NTD655910:NTD655914 OCZ655910:OCZ655914 OMV655910:OMV655914 OWR655910:OWR655914 PGN655910:PGN655914 PQJ655910:PQJ655914 QAF655910:QAF655914 QKB655910:QKB655914 QTX655910:QTX655914 RDT655910:RDT655914 RNP655910:RNP655914 RXL655910:RXL655914 SHH655910:SHH655914 SRD655910:SRD655914 TAZ655910:TAZ655914 TKV655910:TKV655914 TUR655910:TUR655914 UEN655910:UEN655914 UOJ655910:UOJ655914 UYF655910:UYF655914 VIB655910:VIB655914 VRX655910:VRX655914 WBT655910:WBT655914 WLP655910:WLP655914 WVL655910:WVL655914 D721446:D721450 IZ721446:IZ721450 SV721446:SV721450 ACR721446:ACR721450 AMN721446:AMN721450 AWJ721446:AWJ721450 BGF721446:BGF721450 BQB721446:BQB721450 BZX721446:BZX721450 CJT721446:CJT721450 CTP721446:CTP721450 DDL721446:DDL721450 DNH721446:DNH721450 DXD721446:DXD721450 EGZ721446:EGZ721450 EQV721446:EQV721450 FAR721446:FAR721450 FKN721446:FKN721450 FUJ721446:FUJ721450 GEF721446:GEF721450 GOB721446:GOB721450 GXX721446:GXX721450 HHT721446:HHT721450 HRP721446:HRP721450 IBL721446:IBL721450 ILH721446:ILH721450 IVD721446:IVD721450 JEZ721446:JEZ721450 JOV721446:JOV721450 JYR721446:JYR721450 KIN721446:KIN721450 KSJ721446:KSJ721450 LCF721446:LCF721450 LMB721446:LMB721450 LVX721446:LVX721450 MFT721446:MFT721450 MPP721446:MPP721450 MZL721446:MZL721450 NJH721446:NJH721450 NTD721446:NTD721450 OCZ721446:OCZ721450 OMV721446:OMV721450 OWR721446:OWR721450 PGN721446:PGN721450 PQJ721446:PQJ721450 QAF721446:QAF721450 QKB721446:QKB721450 QTX721446:QTX721450 RDT721446:RDT721450 RNP721446:RNP721450 RXL721446:RXL721450 SHH721446:SHH721450 SRD721446:SRD721450 TAZ721446:TAZ721450 TKV721446:TKV721450 TUR721446:TUR721450 UEN721446:UEN721450 UOJ721446:UOJ721450 UYF721446:UYF721450 VIB721446:VIB721450 VRX721446:VRX721450 WBT721446:WBT721450 WLP721446:WLP721450 WVL721446:WVL721450 D786982:D786986 IZ786982:IZ786986 SV786982:SV786986 ACR786982:ACR786986 AMN786982:AMN786986 AWJ786982:AWJ786986 BGF786982:BGF786986 BQB786982:BQB786986 BZX786982:BZX786986 CJT786982:CJT786986 CTP786982:CTP786986 DDL786982:DDL786986 DNH786982:DNH786986 DXD786982:DXD786986 EGZ786982:EGZ786986 EQV786982:EQV786986 FAR786982:FAR786986 FKN786982:FKN786986 FUJ786982:FUJ786986 GEF786982:GEF786986 GOB786982:GOB786986 GXX786982:GXX786986 HHT786982:HHT786986 HRP786982:HRP786986 IBL786982:IBL786986 ILH786982:ILH786986 IVD786982:IVD786986 JEZ786982:JEZ786986 JOV786982:JOV786986 JYR786982:JYR786986 KIN786982:KIN786986 KSJ786982:KSJ786986 LCF786982:LCF786986 LMB786982:LMB786986 LVX786982:LVX786986 MFT786982:MFT786986 MPP786982:MPP786986 MZL786982:MZL786986 NJH786982:NJH786986 NTD786982:NTD786986 OCZ786982:OCZ786986 OMV786982:OMV786986 OWR786982:OWR786986 PGN786982:PGN786986 PQJ786982:PQJ786986 QAF786982:QAF786986 QKB786982:QKB786986 QTX786982:QTX786986 RDT786982:RDT786986 RNP786982:RNP786986 RXL786982:RXL786986 SHH786982:SHH786986 SRD786982:SRD786986 TAZ786982:TAZ786986 TKV786982:TKV786986 TUR786982:TUR786986 UEN786982:UEN786986 UOJ786982:UOJ786986 UYF786982:UYF786986 VIB786982:VIB786986 VRX786982:VRX786986 WBT786982:WBT786986 WLP786982:WLP786986 WVL786982:WVL786986 D852518:D852522 IZ852518:IZ852522 SV852518:SV852522 ACR852518:ACR852522 AMN852518:AMN852522 AWJ852518:AWJ852522 BGF852518:BGF852522 BQB852518:BQB852522 BZX852518:BZX852522 CJT852518:CJT852522 CTP852518:CTP852522 DDL852518:DDL852522 DNH852518:DNH852522 DXD852518:DXD852522 EGZ852518:EGZ852522 EQV852518:EQV852522 FAR852518:FAR852522 FKN852518:FKN852522 FUJ852518:FUJ852522 GEF852518:GEF852522 GOB852518:GOB852522 GXX852518:GXX852522 HHT852518:HHT852522 HRP852518:HRP852522 IBL852518:IBL852522 ILH852518:ILH852522 IVD852518:IVD852522 JEZ852518:JEZ852522 JOV852518:JOV852522 JYR852518:JYR852522 KIN852518:KIN852522 KSJ852518:KSJ852522 LCF852518:LCF852522 LMB852518:LMB852522 LVX852518:LVX852522 MFT852518:MFT852522 MPP852518:MPP852522 MZL852518:MZL852522 NJH852518:NJH852522 NTD852518:NTD852522 OCZ852518:OCZ852522 OMV852518:OMV852522 OWR852518:OWR852522 PGN852518:PGN852522 PQJ852518:PQJ852522 QAF852518:QAF852522 QKB852518:QKB852522 QTX852518:QTX852522 RDT852518:RDT852522 RNP852518:RNP852522 RXL852518:RXL852522 SHH852518:SHH852522 SRD852518:SRD852522 TAZ852518:TAZ852522 TKV852518:TKV852522 TUR852518:TUR852522 UEN852518:UEN852522 UOJ852518:UOJ852522 UYF852518:UYF852522 VIB852518:VIB852522 VRX852518:VRX852522 WBT852518:WBT852522 WLP852518:WLP852522 WVL852518:WVL852522 D918054:D918058 IZ918054:IZ918058 SV918054:SV918058 ACR918054:ACR918058 AMN918054:AMN918058 AWJ918054:AWJ918058 BGF918054:BGF918058 BQB918054:BQB918058 BZX918054:BZX918058 CJT918054:CJT918058 CTP918054:CTP918058 DDL918054:DDL918058 DNH918054:DNH918058 DXD918054:DXD918058 EGZ918054:EGZ918058 EQV918054:EQV918058 FAR918054:FAR918058 FKN918054:FKN918058 FUJ918054:FUJ918058 GEF918054:GEF918058 GOB918054:GOB918058 GXX918054:GXX918058 HHT918054:HHT918058 HRP918054:HRP918058 IBL918054:IBL918058 ILH918054:ILH918058 IVD918054:IVD918058 JEZ918054:JEZ918058 JOV918054:JOV918058 JYR918054:JYR918058 KIN918054:KIN918058 KSJ918054:KSJ918058 LCF918054:LCF918058 LMB918054:LMB918058 LVX918054:LVX918058 MFT918054:MFT918058 MPP918054:MPP918058 MZL918054:MZL918058 NJH918054:NJH918058 NTD918054:NTD918058 OCZ918054:OCZ918058 OMV918054:OMV918058 OWR918054:OWR918058 PGN918054:PGN918058 PQJ918054:PQJ918058 QAF918054:QAF918058 QKB918054:QKB918058 QTX918054:QTX918058 RDT918054:RDT918058 RNP918054:RNP918058 RXL918054:RXL918058 SHH918054:SHH918058 SRD918054:SRD918058 TAZ918054:TAZ918058 TKV918054:TKV918058 TUR918054:TUR918058 UEN918054:UEN918058 UOJ918054:UOJ918058 UYF918054:UYF918058 VIB918054:VIB918058 VRX918054:VRX918058 WBT918054:WBT918058 WLP918054:WLP918058 WVL918054:WVL918058 D983590:D983594 IZ983590:IZ983594 SV983590:SV983594 ACR983590:ACR983594 AMN983590:AMN983594 AWJ983590:AWJ983594 BGF983590:BGF983594 BQB983590:BQB983594 BZX983590:BZX983594 CJT983590:CJT983594 CTP983590:CTP983594 DDL983590:DDL983594 DNH983590:DNH983594 DXD983590:DXD983594 EGZ983590:EGZ983594 EQV983590:EQV983594 FAR983590:FAR983594 FKN983590:FKN983594 FUJ983590:FUJ983594 GEF983590:GEF983594 GOB983590:GOB983594 GXX983590:GXX983594 HHT983590:HHT983594 HRP983590:HRP983594 IBL983590:IBL983594 ILH983590:ILH983594 IVD983590:IVD983594 JEZ983590:JEZ983594 JOV983590:JOV983594 JYR983590:JYR983594 KIN983590:KIN983594 KSJ983590:KSJ983594 LCF983590:LCF983594 LMB983590:LMB983594 LVX983590:LVX983594 MFT983590:MFT983594 MPP983590:MPP983594 MZL983590:MZL983594 NJH983590:NJH983594 NTD983590:NTD983594 OCZ983590:OCZ983594 OMV983590:OMV983594 OWR983590:OWR983594 PGN983590:PGN983594 PQJ983590:PQJ983594 QAF983590:QAF983594 QKB983590:QKB983594 QTX983590:QTX983594 RDT983590:RDT983594 RNP983590:RNP983594 RXL983590:RXL983594 SHH983590:SHH983594 SRD983590:SRD983594 TAZ983590:TAZ983594 TKV983590:TKV983594 TUR983590:TUR983594 UEN983590:UEN983594 UOJ983590:UOJ983594 UYF983590:UYF983594 VIB983590:VIB983594 VRX983590:VRX983594 WBT983590:WBT983594 WLP983590:WLP983594 WVL983590:WVL983594" xr:uid="{00000000-0002-0000-0300-000008000000}">
      <formula1>$V$543:$AB$543</formula1>
    </dataValidation>
    <dataValidation type="list" allowBlank="1" showInputMessage="1" showErrorMessage="1" sqref="C545:C549 IY545:IY549 SU545:SU549 ACQ545:ACQ549 AMM545:AMM549 AWI545:AWI549 BGE545:BGE549 BQA545:BQA549 BZW545:BZW549 CJS545:CJS549 CTO545:CTO549 DDK545:DDK549 DNG545:DNG549 DXC545:DXC549 EGY545:EGY549 EQU545:EQU549 FAQ545:FAQ549 FKM545:FKM549 FUI545:FUI549 GEE545:GEE549 GOA545:GOA549 GXW545:GXW549 HHS545:HHS549 HRO545:HRO549 IBK545:IBK549 ILG545:ILG549 IVC545:IVC549 JEY545:JEY549 JOU545:JOU549 JYQ545:JYQ549 KIM545:KIM549 KSI545:KSI549 LCE545:LCE549 LMA545:LMA549 LVW545:LVW549 MFS545:MFS549 MPO545:MPO549 MZK545:MZK549 NJG545:NJG549 NTC545:NTC549 OCY545:OCY549 OMU545:OMU549 OWQ545:OWQ549 PGM545:PGM549 PQI545:PQI549 QAE545:QAE549 QKA545:QKA549 QTW545:QTW549 RDS545:RDS549 RNO545:RNO549 RXK545:RXK549 SHG545:SHG549 SRC545:SRC549 TAY545:TAY549 TKU545:TKU549 TUQ545:TUQ549 UEM545:UEM549 UOI545:UOI549 UYE545:UYE549 VIA545:VIA549 VRW545:VRW549 WBS545:WBS549 WLO545:WLO549 WVK545:WVK549 C66086:C66090 IY66086:IY66090 SU66086:SU66090 ACQ66086:ACQ66090 AMM66086:AMM66090 AWI66086:AWI66090 BGE66086:BGE66090 BQA66086:BQA66090 BZW66086:BZW66090 CJS66086:CJS66090 CTO66086:CTO66090 DDK66086:DDK66090 DNG66086:DNG66090 DXC66086:DXC66090 EGY66086:EGY66090 EQU66086:EQU66090 FAQ66086:FAQ66090 FKM66086:FKM66090 FUI66086:FUI66090 GEE66086:GEE66090 GOA66086:GOA66090 GXW66086:GXW66090 HHS66086:HHS66090 HRO66086:HRO66090 IBK66086:IBK66090 ILG66086:ILG66090 IVC66086:IVC66090 JEY66086:JEY66090 JOU66086:JOU66090 JYQ66086:JYQ66090 KIM66086:KIM66090 KSI66086:KSI66090 LCE66086:LCE66090 LMA66086:LMA66090 LVW66086:LVW66090 MFS66086:MFS66090 MPO66086:MPO66090 MZK66086:MZK66090 NJG66086:NJG66090 NTC66086:NTC66090 OCY66086:OCY66090 OMU66086:OMU66090 OWQ66086:OWQ66090 PGM66086:PGM66090 PQI66086:PQI66090 QAE66086:QAE66090 QKA66086:QKA66090 QTW66086:QTW66090 RDS66086:RDS66090 RNO66086:RNO66090 RXK66086:RXK66090 SHG66086:SHG66090 SRC66086:SRC66090 TAY66086:TAY66090 TKU66086:TKU66090 TUQ66086:TUQ66090 UEM66086:UEM66090 UOI66086:UOI66090 UYE66086:UYE66090 VIA66086:VIA66090 VRW66086:VRW66090 WBS66086:WBS66090 WLO66086:WLO66090 WVK66086:WVK66090 C131622:C131626 IY131622:IY131626 SU131622:SU131626 ACQ131622:ACQ131626 AMM131622:AMM131626 AWI131622:AWI131626 BGE131622:BGE131626 BQA131622:BQA131626 BZW131622:BZW131626 CJS131622:CJS131626 CTO131622:CTO131626 DDK131622:DDK131626 DNG131622:DNG131626 DXC131622:DXC131626 EGY131622:EGY131626 EQU131622:EQU131626 FAQ131622:FAQ131626 FKM131622:FKM131626 FUI131622:FUI131626 GEE131622:GEE131626 GOA131622:GOA131626 GXW131622:GXW131626 HHS131622:HHS131626 HRO131622:HRO131626 IBK131622:IBK131626 ILG131622:ILG131626 IVC131622:IVC131626 JEY131622:JEY131626 JOU131622:JOU131626 JYQ131622:JYQ131626 KIM131622:KIM131626 KSI131622:KSI131626 LCE131622:LCE131626 LMA131622:LMA131626 LVW131622:LVW131626 MFS131622:MFS131626 MPO131622:MPO131626 MZK131622:MZK131626 NJG131622:NJG131626 NTC131622:NTC131626 OCY131622:OCY131626 OMU131622:OMU131626 OWQ131622:OWQ131626 PGM131622:PGM131626 PQI131622:PQI131626 QAE131622:QAE131626 QKA131622:QKA131626 QTW131622:QTW131626 RDS131622:RDS131626 RNO131622:RNO131626 RXK131622:RXK131626 SHG131622:SHG131626 SRC131622:SRC131626 TAY131622:TAY131626 TKU131622:TKU131626 TUQ131622:TUQ131626 UEM131622:UEM131626 UOI131622:UOI131626 UYE131622:UYE131626 VIA131622:VIA131626 VRW131622:VRW131626 WBS131622:WBS131626 WLO131622:WLO131626 WVK131622:WVK131626 C197158:C197162 IY197158:IY197162 SU197158:SU197162 ACQ197158:ACQ197162 AMM197158:AMM197162 AWI197158:AWI197162 BGE197158:BGE197162 BQA197158:BQA197162 BZW197158:BZW197162 CJS197158:CJS197162 CTO197158:CTO197162 DDK197158:DDK197162 DNG197158:DNG197162 DXC197158:DXC197162 EGY197158:EGY197162 EQU197158:EQU197162 FAQ197158:FAQ197162 FKM197158:FKM197162 FUI197158:FUI197162 GEE197158:GEE197162 GOA197158:GOA197162 GXW197158:GXW197162 HHS197158:HHS197162 HRO197158:HRO197162 IBK197158:IBK197162 ILG197158:ILG197162 IVC197158:IVC197162 JEY197158:JEY197162 JOU197158:JOU197162 JYQ197158:JYQ197162 KIM197158:KIM197162 KSI197158:KSI197162 LCE197158:LCE197162 LMA197158:LMA197162 LVW197158:LVW197162 MFS197158:MFS197162 MPO197158:MPO197162 MZK197158:MZK197162 NJG197158:NJG197162 NTC197158:NTC197162 OCY197158:OCY197162 OMU197158:OMU197162 OWQ197158:OWQ197162 PGM197158:PGM197162 PQI197158:PQI197162 QAE197158:QAE197162 QKA197158:QKA197162 QTW197158:QTW197162 RDS197158:RDS197162 RNO197158:RNO197162 RXK197158:RXK197162 SHG197158:SHG197162 SRC197158:SRC197162 TAY197158:TAY197162 TKU197158:TKU197162 TUQ197158:TUQ197162 UEM197158:UEM197162 UOI197158:UOI197162 UYE197158:UYE197162 VIA197158:VIA197162 VRW197158:VRW197162 WBS197158:WBS197162 WLO197158:WLO197162 WVK197158:WVK197162 C262694:C262698 IY262694:IY262698 SU262694:SU262698 ACQ262694:ACQ262698 AMM262694:AMM262698 AWI262694:AWI262698 BGE262694:BGE262698 BQA262694:BQA262698 BZW262694:BZW262698 CJS262694:CJS262698 CTO262694:CTO262698 DDK262694:DDK262698 DNG262694:DNG262698 DXC262694:DXC262698 EGY262694:EGY262698 EQU262694:EQU262698 FAQ262694:FAQ262698 FKM262694:FKM262698 FUI262694:FUI262698 GEE262694:GEE262698 GOA262694:GOA262698 GXW262694:GXW262698 HHS262694:HHS262698 HRO262694:HRO262698 IBK262694:IBK262698 ILG262694:ILG262698 IVC262694:IVC262698 JEY262694:JEY262698 JOU262694:JOU262698 JYQ262694:JYQ262698 KIM262694:KIM262698 KSI262694:KSI262698 LCE262694:LCE262698 LMA262694:LMA262698 LVW262694:LVW262698 MFS262694:MFS262698 MPO262694:MPO262698 MZK262694:MZK262698 NJG262694:NJG262698 NTC262694:NTC262698 OCY262694:OCY262698 OMU262694:OMU262698 OWQ262694:OWQ262698 PGM262694:PGM262698 PQI262694:PQI262698 QAE262694:QAE262698 QKA262694:QKA262698 QTW262694:QTW262698 RDS262694:RDS262698 RNO262694:RNO262698 RXK262694:RXK262698 SHG262694:SHG262698 SRC262694:SRC262698 TAY262694:TAY262698 TKU262694:TKU262698 TUQ262694:TUQ262698 UEM262694:UEM262698 UOI262694:UOI262698 UYE262694:UYE262698 VIA262694:VIA262698 VRW262694:VRW262698 WBS262694:WBS262698 WLO262694:WLO262698 WVK262694:WVK262698 C328230:C328234 IY328230:IY328234 SU328230:SU328234 ACQ328230:ACQ328234 AMM328230:AMM328234 AWI328230:AWI328234 BGE328230:BGE328234 BQA328230:BQA328234 BZW328230:BZW328234 CJS328230:CJS328234 CTO328230:CTO328234 DDK328230:DDK328234 DNG328230:DNG328234 DXC328230:DXC328234 EGY328230:EGY328234 EQU328230:EQU328234 FAQ328230:FAQ328234 FKM328230:FKM328234 FUI328230:FUI328234 GEE328230:GEE328234 GOA328230:GOA328234 GXW328230:GXW328234 HHS328230:HHS328234 HRO328230:HRO328234 IBK328230:IBK328234 ILG328230:ILG328234 IVC328230:IVC328234 JEY328230:JEY328234 JOU328230:JOU328234 JYQ328230:JYQ328234 KIM328230:KIM328234 KSI328230:KSI328234 LCE328230:LCE328234 LMA328230:LMA328234 LVW328230:LVW328234 MFS328230:MFS328234 MPO328230:MPO328234 MZK328230:MZK328234 NJG328230:NJG328234 NTC328230:NTC328234 OCY328230:OCY328234 OMU328230:OMU328234 OWQ328230:OWQ328234 PGM328230:PGM328234 PQI328230:PQI328234 QAE328230:QAE328234 QKA328230:QKA328234 QTW328230:QTW328234 RDS328230:RDS328234 RNO328230:RNO328234 RXK328230:RXK328234 SHG328230:SHG328234 SRC328230:SRC328234 TAY328230:TAY328234 TKU328230:TKU328234 TUQ328230:TUQ328234 UEM328230:UEM328234 UOI328230:UOI328234 UYE328230:UYE328234 VIA328230:VIA328234 VRW328230:VRW328234 WBS328230:WBS328234 WLO328230:WLO328234 WVK328230:WVK328234 C393766:C393770 IY393766:IY393770 SU393766:SU393770 ACQ393766:ACQ393770 AMM393766:AMM393770 AWI393766:AWI393770 BGE393766:BGE393770 BQA393766:BQA393770 BZW393766:BZW393770 CJS393766:CJS393770 CTO393766:CTO393770 DDK393766:DDK393770 DNG393766:DNG393770 DXC393766:DXC393770 EGY393766:EGY393770 EQU393766:EQU393770 FAQ393766:FAQ393770 FKM393766:FKM393770 FUI393766:FUI393770 GEE393766:GEE393770 GOA393766:GOA393770 GXW393766:GXW393770 HHS393766:HHS393770 HRO393766:HRO393770 IBK393766:IBK393770 ILG393766:ILG393770 IVC393766:IVC393770 JEY393766:JEY393770 JOU393766:JOU393770 JYQ393766:JYQ393770 KIM393766:KIM393770 KSI393766:KSI393770 LCE393766:LCE393770 LMA393766:LMA393770 LVW393766:LVW393770 MFS393766:MFS393770 MPO393766:MPO393770 MZK393766:MZK393770 NJG393766:NJG393770 NTC393766:NTC393770 OCY393766:OCY393770 OMU393766:OMU393770 OWQ393766:OWQ393770 PGM393766:PGM393770 PQI393766:PQI393770 QAE393766:QAE393770 QKA393766:QKA393770 QTW393766:QTW393770 RDS393766:RDS393770 RNO393766:RNO393770 RXK393766:RXK393770 SHG393766:SHG393770 SRC393766:SRC393770 TAY393766:TAY393770 TKU393766:TKU393770 TUQ393766:TUQ393770 UEM393766:UEM393770 UOI393766:UOI393770 UYE393766:UYE393770 VIA393766:VIA393770 VRW393766:VRW393770 WBS393766:WBS393770 WLO393766:WLO393770 WVK393766:WVK393770 C459302:C459306 IY459302:IY459306 SU459302:SU459306 ACQ459302:ACQ459306 AMM459302:AMM459306 AWI459302:AWI459306 BGE459302:BGE459306 BQA459302:BQA459306 BZW459302:BZW459306 CJS459302:CJS459306 CTO459302:CTO459306 DDK459302:DDK459306 DNG459302:DNG459306 DXC459302:DXC459306 EGY459302:EGY459306 EQU459302:EQU459306 FAQ459302:FAQ459306 FKM459302:FKM459306 FUI459302:FUI459306 GEE459302:GEE459306 GOA459302:GOA459306 GXW459302:GXW459306 HHS459302:HHS459306 HRO459302:HRO459306 IBK459302:IBK459306 ILG459302:ILG459306 IVC459302:IVC459306 JEY459302:JEY459306 JOU459302:JOU459306 JYQ459302:JYQ459306 KIM459302:KIM459306 KSI459302:KSI459306 LCE459302:LCE459306 LMA459302:LMA459306 LVW459302:LVW459306 MFS459302:MFS459306 MPO459302:MPO459306 MZK459302:MZK459306 NJG459302:NJG459306 NTC459302:NTC459306 OCY459302:OCY459306 OMU459302:OMU459306 OWQ459302:OWQ459306 PGM459302:PGM459306 PQI459302:PQI459306 QAE459302:QAE459306 QKA459302:QKA459306 QTW459302:QTW459306 RDS459302:RDS459306 RNO459302:RNO459306 RXK459302:RXK459306 SHG459302:SHG459306 SRC459302:SRC459306 TAY459302:TAY459306 TKU459302:TKU459306 TUQ459302:TUQ459306 UEM459302:UEM459306 UOI459302:UOI459306 UYE459302:UYE459306 VIA459302:VIA459306 VRW459302:VRW459306 WBS459302:WBS459306 WLO459302:WLO459306 WVK459302:WVK459306 C524838:C524842 IY524838:IY524842 SU524838:SU524842 ACQ524838:ACQ524842 AMM524838:AMM524842 AWI524838:AWI524842 BGE524838:BGE524842 BQA524838:BQA524842 BZW524838:BZW524842 CJS524838:CJS524842 CTO524838:CTO524842 DDK524838:DDK524842 DNG524838:DNG524842 DXC524838:DXC524842 EGY524838:EGY524842 EQU524838:EQU524842 FAQ524838:FAQ524842 FKM524838:FKM524842 FUI524838:FUI524842 GEE524838:GEE524842 GOA524838:GOA524842 GXW524838:GXW524842 HHS524838:HHS524842 HRO524838:HRO524842 IBK524838:IBK524842 ILG524838:ILG524842 IVC524838:IVC524842 JEY524838:JEY524842 JOU524838:JOU524842 JYQ524838:JYQ524842 KIM524838:KIM524842 KSI524838:KSI524842 LCE524838:LCE524842 LMA524838:LMA524842 LVW524838:LVW524842 MFS524838:MFS524842 MPO524838:MPO524842 MZK524838:MZK524842 NJG524838:NJG524842 NTC524838:NTC524842 OCY524838:OCY524842 OMU524838:OMU524842 OWQ524838:OWQ524842 PGM524838:PGM524842 PQI524838:PQI524842 QAE524838:QAE524842 QKA524838:QKA524842 QTW524838:QTW524842 RDS524838:RDS524842 RNO524838:RNO524842 RXK524838:RXK524842 SHG524838:SHG524842 SRC524838:SRC524842 TAY524838:TAY524842 TKU524838:TKU524842 TUQ524838:TUQ524842 UEM524838:UEM524842 UOI524838:UOI524842 UYE524838:UYE524842 VIA524838:VIA524842 VRW524838:VRW524842 WBS524838:WBS524842 WLO524838:WLO524842 WVK524838:WVK524842 C590374:C590378 IY590374:IY590378 SU590374:SU590378 ACQ590374:ACQ590378 AMM590374:AMM590378 AWI590374:AWI590378 BGE590374:BGE590378 BQA590374:BQA590378 BZW590374:BZW590378 CJS590374:CJS590378 CTO590374:CTO590378 DDK590374:DDK590378 DNG590374:DNG590378 DXC590374:DXC590378 EGY590374:EGY590378 EQU590374:EQU590378 FAQ590374:FAQ590378 FKM590374:FKM590378 FUI590374:FUI590378 GEE590374:GEE590378 GOA590374:GOA590378 GXW590374:GXW590378 HHS590374:HHS590378 HRO590374:HRO590378 IBK590374:IBK590378 ILG590374:ILG590378 IVC590374:IVC590378 JEY590374:JEY590378 JOU590374:JOU590378 JYQ590374:JYQ590378 KIM590374:KIM590378 KSI590374:KSI590378 LCE590374:LCE590378 LMA590374:LMA590378 LVW590374:LVW590378 MFS590374:MFS590378 MPO590374:MPO590378 MZK590374:MZK590378 NJG590374:NJG590378 NTC590374:NTC590378 OCY590374:OCY590378 OMU590374:OMU590378 OWQ590374:OWQ590378 PGM590374:PGM590378 PQI590374:PQI590378 QAE590374:QAE590378 QKA590374:QKA590378 QTW590374:QTW590378 RDS590374:RDS590378 RNO590374:RNO590378 RXK590374:RXK590378 SHG590374:SHG590378 SRC590374:SRC590378 TAY590374:TAY590378 TKU590374:TKU590378 TUQ590374:TUQ590378 UEM590374:UEM590378 UOI590374:UOI590378 UYE590374:UYE590378 VIA590374:VIA590378 VRW590374:VRW590378 WBS590374:WBS590378 WLO590374:WLO590378 WVK590374:WVK590378 C655910:C655914 IY655910:IY655914 SU655910:SU655914 ACQ655910:ACQ655914 AMM655910:AMM655914 AWI655910:AWI655914 BGE655910:BGE655914 BQA655910:BQA655914 BZW655910:BZW655914 CJS655910:CJS655914 CTO655910:CTO655914 DDK655910:DDK655914 DNG655910:DNG655914 DXC655910:DXC655914 EGY655910:EGY655914 EQU655910:EQU655914 FAQ655910:FAQ655914 FKM655910:FKM655914 FUI655910:FUI655914 GEE655910:GEE655914 GOA655910:GOA655914 GXW655910:GXW655914 HHS655910:HHS655914 HRO655910:HRO655914 IBK655910:IBK655914 ILG655910:ILG655914 IVC655910:IVC655914 JEY655910:JEY655914 JOU655910:JOU655914 JYQ655910:JYQ655914 KIM655910:KIM655914 KSI655910:KSI655914 LCE655910:LCE655914 LMA655910:LMA655914 LVW655910:LVW655914 MFS655910:MFS655914 MPO655910:MPO655914 MZK655910:MZK655914 NJG655910:NJG655914 NTC655910:NTC655914 OCY655910:OCY655914 OMU655910:OMU655914 OWQ655910:OWQ655914 PGM655910:PGM655914 PQI655910:PQI655914 QAE655910:QAE655914 QKA655910:QKA655914 QTW655910:QTW655914 RDS655910:RDS655914 RNO655910:RNO655914 RXK655910:RXK655914 SHG655910:SHG655914 SRC655910:SRC655914 TAY655910:TAY655914 TKU655910:TKU655914 TUQ655910:TUQ655914 UEM655910:UEM655914 UOI655910:UOI655914 UYE655910:UYE655914 VIA655910:VIA655914 VRW655910:VRW655914 WBS655910:WBS655914 WLO655910:WLO655914 WVK655910:WVK655914 C721446:C721450 IY721446:IY721450 SU721446:SU721450 ACQ721446:ACQ721450 AMM721446:AMM721450 AWI721446:AWI721450 BGE721446:BGE721450 BQA721446:BQA721450 BZW721446:BZW721450 CJS721446:CJS721450 CTO721446:CTO721450 DDK721446:DDK721450 DNG721446:DNG721450 DXC721446:DXC721450 EGY721446:EGY721450 EQU721446:EQU721450 FAQ721446:FAQ721450 FKM721446:FKM721450 FUI721446:FUI721450 GEE721446:GEE721450 GOA721446:GOA721450 GXW721446:GXW721450 HHS721446:HHS721450 HRO721446:HRO721450 IBK721446:IBK721450 ILG721446:ILG721450 IVC721446:IVC721450 JEY721446:JEY721450 JOU721446:JOU721450 JYQ721446:JYQ721450 KIM721446:KIM721450 KSI721446:KSI721450 LCE721446:LCE721450 LMA721446:LMA721450 LVW721446:LVW721450 MFS721446:MFS721450 MPO721446:MPO721450 MZK721446:MZK721450 NJG721446:NJG721450 NTC721446:NTC721450 OCY721446:OCY721450 OMU721446:OMU721450 OWQ721446:OWQ721450 PGM721446:PGM721450 PQI721446:PQI721450 QAE721446:QAE721450 QKA721446:QKA721450 QTW721446:QTW721450 RDS721446:RDS721450 RNO721446:RNO721450 RXK721446:RXK721450 SHG721446:SHG721450 SRC721446:SRC721450 TAY721446:TAY721450 TKU721446:TKU721450 TUQ721446:TUQ721450 UEM721446:UEM721450 UOI721446:UOI721450 UYE721446:UYE721450 VIA721446:VIA721450 VRW721446:VRW721450 WBS721446:WBS721450 WLO721446:WLO721450 WVK721446:WVK721450 C786982:C786986 IY786982:IY786986 SU786982:SU786986 ACQ786982:ACQ786986 AMM786982:AMM786986 AWI786982:AWI786986 BGE786982:BGE786986 BQA786982:BQA786986 BZW786982:BZW786986 CJS786982:CJS786986 CTO786982:CTO786986 DDK786982:DDK786986 DNG786982:DNG786986 DXC786982:DXC786986 EGY786982:EGY786986 EQU786982:EQU786986 FAQ786982:FAQ786986 FKM786982:FKM786986 FUI786982:FUI786986 GEE786982:GEE786986 GOA786982:GOA786986 GXW786982:GXW786986 HHS786982:HHS786986 HRO786982:HRO786986 IBK786982:IBK786986 ILG786982:ILG786986 IVC786982:IVC786986 JEY786982:JEY786986 JOU786982:JOU786986 JYQ786982:JYQ786986 KIM786982:KIM786986 KSI786982:KSI786986 LCE786982:LCE786986 LMA786982:LMA786986 LVW786982:LVW786986 MFS786982:MFS786986 MPO786982:MPO786986 MZK786982:MZK786986 NJG786982:NJG786986 NTC786982:NTC786986 OCY786982:OCY786986 OMU786982:OMU786986 OWQ786982:OWQ786986 PGM786982:PGM786986 PQI786982:PQI786986 QAE786982:QAE786986 QKA786982:QKA786986 QTW786982:QTW786986 RDS786982:RDS786986 RNO786982:RNO786986 RXK786982:RXK786986 SHG786982:SHG786986 SRC786982:SRC786986 TAY786982:TAY786986 TKU786982:TKU786986 TUQ786982:TUQ786986 UEM786982:UEM786986 UOI786982:UOI786986 UYE786982:UYE786986 VIA786982:VIA786986 VRW786982:VRW786986 WBS786982:WBS786986 WLO786982:WLO786986 WVK786982:WVK786986 C852518:C852522 IY852518:IY852522 SU852518:SU852522 ACQ852518:ACQ852522 AMM852518:AMM852522 AWI852518:AWI852522 BGE852518:BGE852522 BQA852518:BQA852522 BZW852518:BZW852522 CJS852518:CJS852522 CTO852518:CTO852522 DDK852518:DDK852522 DNG852518:DNG852522 DXC852518:DXC852522 EGY852518:EGY852522 EQU852518:EQU852522 FAQ852518:FAQ852522 FKM852518:FKM852522 FUI852518:FUI852522 GEE852518:GEE852522 GOA852518:GOA852522 GXW852518:GXW852522 HHS852518:HHS852522 HRO852518:HRO852522 IBK852518:IBK852522 ILG852518:ILG852522 IVC852518:IVC852522 JEY852518:JEY852522 JOU852518:JOU852522 JYQ852518:JYQ852522 KIM852518:KIM852522 KSI852518:KSI852522 LCE852518:LCE852522 LMA852518:LMA852522 LVW852518:LVW852522 MFS852518:MFS852522 MPO852518:MPO852522 MZK852518:MZK852522 NJG852518:NJG852522 NTC852518:NTC852522 OCY852518:OCY852522 OMU852518:OMU852522 OWQ852518:OWQ852522 PGM852518:PGM852522 PQI852518:PQI852522 QAE852518:QAE852522 QKA852518:QKA852522 QTW852518:QTW852522 RDS852518:RDS852522 RNO852518:RNO852522 RXK852518:RXK852522 SHG852518:SHG852522 SRC852518:SRC852522 TAY852518:TAY852522 TKU852518:TKU852522 TUQ852518:TUQ852522 UEM852518:UEM852522 UOI852518:UOI852522 UYE852518:UYE852522 VIA852518:VIA852522 VRW852518:VRW852522 WBS852518:WBS852522 WLO852518:WLO852522 WVK852518:WVK852522 C918054:C918058 IY918054:IY918058 SU918054:SU918058 ACQ918054:ACQ918058 AMM918054:AMM918058 AWI918054:AWI918058 BGE918054:BGE918058 BQA918054:BQA918058 BZW918054:BZW918058 CJS918054:CJS918058 CTO918054:CTO918058 DDK918054:DDK918058 DNG918054:DNG918058 DXC918054:DXC918058 EGY918054:EGY918058 EQU918054:EQU918058 FAQ918054:FAQ918058 FKM918054:FKM918058 FUI918054:FUI918058 GEE918054:GEE918058 GOA918054:GOA918058 GXW918054:GXW918058 HHS918054:HHS918058 HRO918054:HRO918058 IBK918054:IBK918058 ILG918054:ILG918058 IVC918054:IVC918058 JEY918054:JEY918058 JOU918054:JOU918058 JYQ918054:JYQ918058 KIM918054:KIM918058 KSI918054:KSI918058 LCE918054:LCE918058 LMA918054:LMA918058 LVW918054:LVW918058 MFS918054:MFS918058 MPO918054:MPO918058 MZK918054:MZK918058 NJG918054:NJG918058 NTC918054:NTC918058 OCY918054:OCY918058 OMU918054:OMU918058 OWQ918054:OWQ918058 PGM918054:PGM918058 PQI918054:PQI918058 QAE918054:QAE918058 QKA918054:QKA918058 QTW918054:QTW918058 RDS918054:RDS918058 RNO918054:RNO918058 RXK918054:RXK918058 SHG918054:SHG918058 SRC918054:SRC918058 TAY918054:TAY918058 TKU918054:TKU918058 TUQ918054:TUQ918058 UEM918054:UEM918058 UOI918054:UOI918058 UYE918054:UYE918058 VIA918054:VIA918058 VRW918054:VRW918058 WBS918054:WBS918058 WLO918054:WLO918058 WVK918054:WVK918058 C983590:C983594 IY983590:IY983594 SU983590:SU983594 ACQ983590:ACQ983594 AMM983590:AMM983594 AWI983590:AWI983594 BGE983590:BGE983594 BQA983590:BQA983594 BZW983590:BZW983594 CJS983590:CJS983594 CTO983590:CTO983594 DDK983590:DDK983594 DNG983590:DNG983594 DXC983590:DXC983594 EGY983590:EGY983594 EQU983590:EQU983594 FAQ983590:FAQ983594 FKM983590:FKM983594 FUI983590:FUI983594 GEE983590:GEE983594 GOA983590:GOA983594 GXW983590:GXW983594 HHS983590:HHS983594 HRO983590:HRO983594 IBK983590:IBK983594 ILG983590:ILG983594 IVC983590:IVC983594 JEY983590:JEY983594 JOU983590:JOU983594 JYQ983590:JYQ983594 KIM983590:KIM983594 KSI983590:KSI983594 LCE983590:LCE983594 LMA983590:LMA983594 LVW983590:LVW983594 MFS983590:MFS983594 MPO983590:MPO983594 MZK983590:MZK983594 NJG983590:NJG983594 NTC983590:NTC983594 OCY983590:OCY983594 OMU983590:OMU983594 OWQ983590:OWQ983594 PGM983590:PGM983594 PQI983590:PQI983594 QAE983590:QAE983594 QKA983590:QKA983594 QTW983590:QTW983594 RDS983590:RDS983594 RNO983590:RNO983594 RXK983590:RXK983594 SHG983590:SHG983594 SRC983590:SRC983594 TAY983590:TAY983594 TKU983590:TKU983594 TUQ983590:TUQ983594 UEM983590:UEM983594 UOI983590:UOI983594 UYE983590:UYE983594 VIA983590:VIA983594 VRW983590:VRW983594 WBS983590:WBS983594 WLO983590:WLO983594 WVK983590:WVK983594" xr:uid="{00000000-0002-0000-0300-000009000000}">
      <formula1>$U$544:$U$558</formula1>
    </dataValidation>
    <dataValidation type="list" allowBlank="1" showInputMessage="1" showErrorMessage="1" sqref="F569:F574 JB569:JB574 SX569:SX574 ACT569:ACT574 AMP569:AMP574 AWL569:AWL574 BGH569:BGH574 BQD569:BQD574 BZZ569:BZZ574 CJV569:CJV574 CTR569:CTR574 DDN569:DDN574 DNJ569:DNJ574 DXF569:DXF574 EHB569:EHB574 EQX569:EQX574 FAT569:FAT574 FKP569:FKP574 FUL569:FUL574 GEH569:GEH574 GOD569:GOD574 GXZ569:GXZ574 HHV569:HHV574 HRR569:HRR574 IBN569:IBN574 ILJ569:ILJ574 IVF569:IVF574 JFB569:JFB574 JOX569:JOX574 JYT569:JYT574 KIP569:KIP574 KSL569:KSL574 LCH569:LCH574 LMD569:LMD574 LVZ569:LVZ574 MFV569:MFV574 MPR569:MPR574 MZN569:MZN574 NJJ569:NJJ574 NTF569:NTF574 ODB569:ODB574 OMX569:OMX574 OWT569:OWT574 PGP569:PGP574 PQL569:PQL574 QAH569:QAH574 QKD569:QKD574 QTZ569:QTZ574 RDV569:RDV574 RNR569:RNR574 RXN569:RXN574 SHJ569:SHJ574 SRF569:SRF574 TBB569:TBB574 TKX569:TKX574 TUT569:TUT574 UEP569:UEP574 UOL569:UOL574 UYH569:UYH574 VID569:VID574 VRZ569:VRZ574 WBV569:WBV574 WLR569:WLR574 WVN569:WVN574 F66110:F66115 JB66110:JB66115 SX66110:SX66115 ACT66110:ACT66115 AMP66110:AMP66115 AWL66110:AWL66115 BGH66110:BGH66115 BQD66110:BQD66115 BZZ66110:BZZ66115 CJV66110:CJV66115 CTR66110:CTR66115 DDN66110:DDN66115 DNJ66110:DNJ66115 DXF66110:DXF66115 EHB66110:EHB66115 EQX66110:EQX66115 FAT66110:FAT66115 FKP66110:FKP66115 FUL66110:FUL66115 GEH66110:GEH66115 GOD66110:GOD66115 GXZ66110:GXZ66115 HHV66110:HHV66115 HRR66110:HRR66115 IBN66110:IBN66115 ILJ66110:ILJ66115 IVF66110:IVF66115 JFB66110:JFB66115 JOX66110:JOX66115 JYT66110:JYT66115 KIP66110:KIP66115 KSL66110:KSL66115 LCH66110:LCH66115 LMD66110:LMD66115 LVZ66110:LVZ66115 MFV66110:MFV66115 MPR66110:MPR66115 MZN66110:MZN66115 NJJ66110:NJJ66115 NTF66110:NTF66115 ODB66110:ODB66115 OMX66110:OMX66115 OWT66110:OWT66115 PGP66110:PGP66115 PQL66110:PQL66115 QAH66110:QAH66115 QKD66110:QKD66115 QTZ66110:QTZ66115 RDV66110:RDV66115 RNR66110:RNR66115 RXN66110:RXN66115 SHJ66110:SHJ66115 SRF66110:SRF66115 TBB66110:TBB66115 TKX66110:TKX66115 TUT66110:TUT66115 UEP66110:UEP66115 UOL66110:UOL66115 UYH66110:UYH66115 VID66110:VID66115 VRZ66110:VRZ66115 WBV66110:WBV66115 WLR66110:WLR66115 WVN66110:WVN66115 F131646:F131651 JB131646:JB131651 SX131646:SX131651 ACT131646:ACT131651 AMP131646:AMP131651 AWL131646:AWL131651 BGH131646:BGH131651 BQD131646:BQD131651 BZZ131646:BZZ131651 CJV131646:CJV131651 CTR131646:CTR131651 DDN131646:DDN131651 DNJ131646:DNJ131651 DXF131646:DXF131651 EHB131646:EHB131651 EQX131646:EQX131651 FAT131646:FAT131651 FKP131646:FKP131651 FUL131646:FUL131651 GEH131646:GEH131651 GOD131646:GOD131651 GXZ131646:GXZ131651 HHV131646:HHV131651 HRR131646:HRR131651 IBN131646:IBN131651 ILJ131646:ILJ131651 IVF131646:IVF131651 JFB131646:JFB131651 JOX131646:JOX131651 JYT131646:JYT131651 KIP131646:KIP131651 KSL131646:KSL131651 LCH131646:LCH131651 LMD131646:LMD131651 LVZ131646:LVZ131651 MFV131646:MFV131651 MPR131646:MPR131651 MZN131646:MZN131651 NJJ131646:NJJ131651 NTF131646:NTF131651 ODB131646:ODB131651 OMX131646:OMX131651 OWT131646:OWT131651 PGP131646:PGP131651 PQL131646:PQL131651 QAH131646:QAH131651 QKD131646:QKD131651 QTZ131646:QTZ131651 RDV131646:RDV131651 RNR131646:RNR131651 RXN131646:RXN131651 SHJ131646:SHJ131651 SRF131646:SRF131651 TBB131646:TBB131651 TKX131646:TKX131651 TUT131646:TUT131651 UEP131646:UEP131651 UOL131646:UOL131651 UYH131646:UYH131651 VID131646:VID131651 VRZ131646:VRZ131651 WBV131646:WBV131651 WLR131646:WLR131651 WVN131646:WVN131651 F197182:F197187 JB197182:JB197187 SX197182:SX197187 ACT197182:ACT197187 AMP197182:AMP197187 AWL197182:AWL197187 BGH197182:BGH197187 BQD197182:BQD197187 BZZ197182:BZZ197187 CJV197182:CJV197187 CTR197182:CTR197187 DDN197182:DDN197187 DNJ197182:DNJ197187 DXF197182:DXF197187 EHB197182:EHB197187 EQX197182:EQX197187 FAT197182:FAT197187 FKP197182:FKP197187 FUL197182:FUL197187 GEH197182:GEH197187 GOD197182:GOD197187 GXZ197182:GXZ197187 HHV197182:HHV197187 HRR197182:HRR197187 IBN197182:IBN197187 ILJ197182:ILJ197187 IVF197182:IVF197187 JFB197182:JFB197187 JOX197182:JOX197187 JYT197182:JYT197187 KIP197182:KIP197187 KSL197182:KSL197187 LCH197182:LCH197187 LMD197182:LMD197187 LVZ197182:LVZ197187 MFV197182:MFV197187 MPR197182:MPR197187 MZN197182:MZN197187 NJJ197182:NJJ197187 NTF197182:NTF197187 ODB197182:ODB197187 OMX197182:OMX197187 OWT197182:OWT197187 PGP197182:PGP197187 PQL197182:PQL197187 QAH197182:QAH197187 QKD197182:QKD197187 QTZ197182:QTZ197187 RDV197182:RDV197187 RNR197182:RNR197187 RXN197182:RXN197187 SHJ197182:SHJ197187 SRF197182:SRF197187 TBB197182:TBB197187 TKX197182:TKX197187 TUT197182:TUT197187 UEP197182:UEP197187 UOL197182:UOL197187 UYH197182:UYH197187 VID197182:VID197187 VRZ197182:VRZ197187 WBV197182:WBV197187 WLR197182:WLR197187 WVN197182:WVN197187 F262718:F262723 JB262718:JB262723 SX262718:SX262723 ACT262718:ACT262723 AMP262718:AMP262723 AWL262718:AWL262723 BGH262718:BGH262723 BQD262718:BQD262723 BZZ262718:BZZ262723 CJV262718:CJV262723 CTR262718:CTR262723 DDN262718:DDN262723 DNJ262718:DNJ262723 DXF262718:DXF262723 EHB262718:EHB262723 EQX262718:EQX262723 FAT262718:FAT262723 FKP262718:FKP262723 FUL262718:FUL262723 GEH262718:GEH262723 GOD262718:GOD262723 GXZ262718:GXZ262723 HHV262718:HHV262723 HRR262718:HRR262723 IBN262718:IBN262723 ILJ262718:ILJ262723 IVF262718:IVF262723 JFB262718:JFB262723 JOX262718:JOX262723 JYT262718:JYT262723 KIP262718:KIP262723 KSL262718:KSL262723 LCH262718:LCH262723 LMD262718:LMD262723 LVZ262718:LVZ262723 MFV262718:MFV262723 MPR262718:MPR262723 MZN262718:MZN262723 NJJ262718:NJJ262723 NTF262718:NTF262723 ODB262718:ODB262723 OMX262718:OMX262723 OWT262718:OWT262723 PGP262718:PGP262723 PQL262718:PQL262723 QAH262718:QAH262723 QKD262718:QKD262723 QTZ262718:QTZ262723 RDV262718:RDV262723 RNR262718:RNR262723 RXN262718:RXN262723 SHJ262718:SHJ262723 SRF262718:SRF262723 TBB262718:TBB262723 TKX262718:TKX262723 TUT262718:TUT262723 UEP262718:UEP262723 UOL262718:UOL262723 UYH262718:UYH262723 VID262718:VID262723 VRZ262718:VRZ262723 WBV262718:WBV262723 WLR262718:WLR262723 WVN262718:WVN262723 F328254:F328259 JB328254:JB328259 SX328254:SX328259 ACT328254:ACT328259 AMP328254:AMP328259 AWL328254:AWL328259 BGH328254:BGH328259 BQD328254:BQD328259 BZZ328254:BZZ328259 CJV328254:CJV328259 CTR328254:CTR328259 DDN328254:DDN328259 DNJ328254:DNJ328259 DXF328254:DXF328259 EHB328254:EHB328259 EQX328254:EQX328259 FAT328254:FAT328259 FKP328254:FKP328259 FUL328254:FUL328259 GEH328254:GEH328259 GOD328254:GOD328259 GXZ328254:GXZ328259 HHV328254:HHV328259 HRR328254:HRR328259 IBN328254:IBN328259 ILJ328254:ILJ328259 IVF328254:IVF328259 JFB328254:JFB328259 JOX328254:JOX328259 JYT328254:JYT328259 KIP328254:KIP328259 KSL328254:KSL328259 LCH328254:LCH328259 LMD328254:LMD328259 LVZ328254:LVZ328259 MFV328254:MFV328259 MPR328254:MPR328259 MZN328254:MZN328259 NJJ328254:NJJ328259 NTF328254:NTF328259 ODB328254:ODB328259 OMX328254:OMX328259 OWT328254:OWT328259 PGP328254:PGP328259 PQL328254:PQL328259 QAH328254:QAH328259 QKD328254:QKD328259 QTZ328254:QTZ328259 RDV328254:RDV328259 RNR328254:RNR328259 RXN328254:RXN328259 SHJ328254:SHJ328259 SRF328254:SRF328259 TBB328254:TBB328259 TKX328254:TKX328259 TUT328254:TUT328259 UEP328254:UEP328259 UOL328254:UOL328259 UYH328254:UYH328259 VID328254:VID328259 VRZ328254:VRZ328259 WBV328254:WBV328259 WLR328254:WLR328259 WVN328254:WVN328259 F393790:F393795 JB393790:JB393795 SX393790:SX393795 ACT393790:ACT393795 AMP393790:AMP393795 AWL393790:AWL393795 BGH393790:BGH393795 BQD393790:BQD393795 BZZ393790:BZZ393795 CJV393790:CJV393795 CTR393790:CTR393795 DDN393790:DDN393795 DNJ393790:DNJ393795 DXF393790:DXF393795 EHB393790:EHB393795 EQX393790:EQX393795 FAT393790:FAT393795 FKP393790:FKP393795 FUL393790:FUL393795 GEH393790:GEH393795 GOD393790:GOD393795 GXZ393790:GXZ393795 HHV393790:HHV393795 HRR393790:HRR393795 IBN393790:IBN393795 ILJ393790:ILJ393795 IVF393790:IVF393795 JFB393790:JFB393795 JOX393790:JOX393795 JYT393790:JYT393795 KIP393790:KIP393795 KSL393790:KSL393795 LCH393790:LCH393795 LMD393790:LMD393795 LVZ393790:LVZ393795 MFV393790:MFV393795 MPR393790:MPR393795 MZN393790:MZN393795 NJJ393790:NJJ393795 NTF393790:NTF393795 ODB393790:ODB393795 OMX393790:OMX393795 OWT393790:OWT393795 PGP393790:PGP393795 PQL393790:PQL393795 QAH393790:QAH393795 QKD393790:QKD393795 QTZ393790:QTZ393795 RDV393790:RDV393795 RNR393790:RNR393795 RXN393790:RXN393795 SHJ393790:SHJ393795 SRF393790:SRF393795 TBB393790:TBB393795 TKX393790:TKX393795 TUT393790:TUT393795 UEP393790:UEP393795 UOL393790:UOL393795 UYH393790:UYH393795 VID393790:VID393795 VRZ393790:VRZ393795 WBV393790:WBV393795 WLR393790:WLR393795 WVN393790:WVN393795 F459326:F459331 JB459326:JB459331 SX459326:SX459331 ACT459326:ACT459331 AMP459326:AMP459331 AWL459326:AWL459331 BGH459326:BGH459331 BQD459326:BQD459331 BZZ459326:BZZ459331 CJV459326:CJV459331 CTR459326:CTR459331 DDN459326:DDN459331 DNJ459326:DNJ459331 DXF459326:DXF459331 EHB459326:EHB459331 EQX459326:EQX459331 FAT459326:FAT459331 FKP459326:FKP459331 FUL459326:FUL459331 GEH459326:GEH459331 GOD459326:GOD459331 GXZ459326:GXZ459331 HHV459326:HHV459331 HRR459326:HRR459331 IBN459326:IBN459331 ILJ459326:ILJ459331 IVF459326:IVF459331 JFB459326:JFB459331 JOX459326:JOX459331 JYT459326:JYT459331 KIP459326:KIP459331 KSL459326:KSL459331 LCH459326:LCH459331 LMD459326:LMD459331 LVZ459326:LVZ459331 MFV459326:MFV459331 MPR459326:MPR459331 MZN459326:MZN459331 NJJ459326:NJJ459331 NTF459326:NTF459331 ODB459326:ODB459331 OMX459326:OMX459331 OWT459326:OWT459331 PGP459326:PGP459331 PQL459326:PQL459331 QAH459326:QAH459331 QKD459326:QKD459331 QTZ459326:QTZ459331 RDV459326:RDV459331 RNR459326:RNR459331 RXN459326:RXN459331 SHJ459326:SHJ459331 SRF459326:SRF459331 TBB459326:TBB459331 TKX459326:TKX459331 TUT459326:TUT459331 UEP459326:UEP459331 UOL459326:UOL459331 UYH459326:UYH459331 VID459326:VID459331 VRZ459326:VRZ459331 WBV459326:WBV459331 WLR459326:WLR459331 WVN459326:WVN459331 F524862:F524867 JB524862:JB524867 SX524862:SX524867 ACT524862:ACT524867 AMP524862:AMP524867 AWL524862:AWL524867 BGH524862:BGH524867 BQD524862:BQD524867 BZZ524862:BZZ524867 CJV524862:CJV524867 CTR524862:CTR524867 DDN524862:DDN524867 DNJ524862:DNJ524867 DXF524862:DXF524867 EHB524862:EHB524867 EQX524862:EQX524867 FAT524862:FAT524867 FKP524862:FKP524867 FUL524862:FUL524867 GEH524862:GEH524867 GOD524862:GOD524867 GXZ524862:GXZ524867 HHV524862:HHV524867 HRR524862:HRR524867 IBN524862:IBN524867 ILJ524862:ILJ524867 IVF524862:IVF524867 JFB524862:JFB524867 JOX524862:JOX524867 JYT524862:JYT524867 KIP524862:KIP524867 KSL524862:KSL524867 LCH524862:LCH524867 LMD524862:LMD524867 LVZ524862:LVZ524867 MFV524862:MFV524867 MPR524862:MPR524867 MZN524862:MZN524867 NJJ524862:NJJ524867 NTF524862:NTF524867 ODB524862:ODB524867 OMX524862:OMX524867 OWT524862:OWT524867 PGP524862:PGP524867 PQL524862:PQL524867 QAH524862:QAH524867 QKD524862:QKD524867 QTZ524862:QTZ524867 RDV524862:RDV524867 RNR524862:RNR524867 RXN524862:RXN524867 SHJ524862:SHJ524867 SRF524862:SRF524867 TBB524862:TBB524867 TKX524862:TKX524867 TUT524862:TUT524867 UEP524862:UEP524867 UOL524862:UOL524867 UYH524862:UYH524867 VID524862:VID524867 VRZ524862:VRZ524867 WBV524862:WBV524867 WLR524862:WLR524867 WVN524862:WVN524867 F590398:F590403 JB590398:JB590403 SX590398:SX590403 ACT590398:ACT590403 AMP590398:AMP590403 AWL590398:AWL590403 BGH590398:BGH590403 BQD590398:BQD590403 BZZ590398:BZZ590403 CJV590398:CJV590403 CTR590398:CTR590403 DDN590398:DDN590403 DNJ590398:DNJ590403 DXF590398:DXF590403 EHB590398:EHB590403 EQX590398:EQX590403 FAT590398:FAT590403 FKP590398:FKP590403 FUL590398:FUL590403 GEH590398:GEH590403 GOD590398:GOD590403 GXZ590398:GXZ590403 HHV590398:HHV590403 HRR590398:HRR590403 IBN590398:IBN590403 ILJ590398:ILJ590403 IVF590398:IVF590403 JFB590398:JFB590403 JOX590398:JOX590403 JYT590398:JYT590403 KIP590398:KIP590403 KSL590398:KSL590403 LCH590398:LCH590403 LMD590398:LMD590403 LVZ590398:LVZ590403 MFV590398:MFV590403 MPR590398:MPR590403 MZN590398:MZN590403 NJJ590398:NJJ590403 NTF590398:NTF590403 ODB590398:ODB590403 OMX590398:OMX590403 OWT590398:OWT590403 PGP590398:PGP590403 PQL590398:PQL590403 QAH590398:QAH590403 QKD590398:QKD590403 QTZ590398:QTZ590403 RDV590398:RDV590403 RNR590398:RNR590403 RXN590398:RXN590403 SHJ590398:SHJ590403 SRF590398:SRF590403 TBB590398:TBB590403 TKX590398:TKX590403 TUT590398:TUT590403 UEP590398:UEP590403 UOL590398:UOL590403 UYH590398:UYH590403 VID590398:VID590403 VRZ590398:VRZ590403 WBV590398:WBV590403 WLR590398:WLR590403 WVN590398:WVN590403 F655934:F655939 JB655934:JB655939 SX655934:SX655939 ACT655934:ACT655939 AMP655934:AMP655939 AWL655934:AWL655939 BGH655934:BGH655939 BQD655934:BQD655939 BZZ655934:BZZ655939 CJV655934:CJV655939 CTR655934:CTR655939 DDN655934:DDN655939 DNJ655934:DNJ655939 DXF655934:DXF655939 EHB655934:EHB655939 EQX655934:EQX655939 FAT655934:FAT655939 FKP655934:FKP655939 FUL655934:FUL655939 GEH655934:GEH655939 GOD655934:GOD655939 GXZ655934:GXZ655939 HHV655934:HHV655939 HRR655934:HRR655939 IBN655934:IBN655939 ILJ655934:ILJ655939 IVF655934:IVF655939 JFB655934:JFB655939 JOX655934:JOX655939 JYT655934:JYT655939 KIP655934:KIP655939 KSL655934:KSL655939 LCH655934:LCH655939 LMD655934:LMD655939 LVZ655934:LVZ655939 MFV655934:MFV655939 MPR655934:MPR655939 MZN655934:MZN655939 NJJ655934:NJJ655939 NTF655934:NTF655939 ODB655934:ODB655939 OMX655934:OMX655939 OWT655934:OWT655939 PGP655934:PGP655939 PQL655934:PQL655939 QAH655934:QAH655939 QKD655934:QKD655939 QTZ655934:QTZ655939 RDV655934:RDV655939 RNR655934:RNR655939 RXN655934:RXN655939 SHJ655934:SHJ655939 SRF655934:SRF655939 TBB655934:TBB655939 TKX655934:TKX655939 TUT655934:TUT655939 UEP655934:UEP655939 UOL655934:UOL655939 UYH655934:UYH655939 VID655934:VID655939 VRZ655934:VRZ655939 WBV655934:WBV655939 WLR655934:WLR655939 WVN655934:WVN655939 F721470:F721475 JB721470:JB721475 SX721470:SX721475 ACT721470:ACT721475 AMP721470:AMP721475 AWL721470:AWL721475 BGH721470:BGH721475 BQD721470:BQD721475 BZZ721470:BZZ721475 CJV721470:CJV721475 CTR721470:CTR721475 DDN721470:DDN721475 DNJ721470:DNJ721475 DXF721470:DXF721475 EHB721470:EHB721475 EQX721470:EQX721475 FAT721470:FAT721475 FKP721470:FKP721475 FUL721470:FUL721475 GEH721470:GEH721475 GOD721470:GOD721475 GXZ721470:GXZ721475 HHV721470:HHV721475 HRR721470:HRR721475 IBN721470:IBN721475 ILJ721470:ILJ721475 IVF721470:IVF721475 JFB721470:JFB721475 JOX721470:JOX721475 JYT721470:JYT721475 KIP721470:KIP721475 KSL721470:KSL721475 LCH721470:LCH721475 LMD721470:LMD721475 LVZ721470:LVZ721475 MFV721470:MFV721475 MPR721470:MPR721475 MZN721470:MZN721475 NJJ721470:NJJ721475 NTF721470:NTF721475 ODB721470:ODB721475 OMX721470:OMX721475 OWT721470:OWT721475 PGP721470:PGP721475 PQL721470:PQL721475 QAH721470:QAH721475 QKD721470:QKD721475 QTZ721470:QTZ721475 RDV721470:RDV721475 RNR721470:RNR721475 RXN721470:RXN721475 SHJ721470:SHJ721475 SRF721470:SRF721475 TBB721470:TBB721475 TKX721470:TKX721475 TUT721470:TUT721475 UEP721470:UEP721475 UOL721470:UOL721475 UYH721470:UYH721475 VID721470:VID721475 VRZ721470:VRZ721475 WBV721470:WBV721475 WLR721470:WLR721475 WVN721470:WVN721475 F787006:F787011 JB787006:JB787011 SX787006:SX787011 ACT787006:ACT787011 AMP787006:AMP787011 AWL787006:AWL787011 BGH787006:BGH787011 BQD787006:BQD787011 BZZ787006:BZZ787011 CJV787006:CJV787011 CTR787006:CTR787011 DDN787006:DDN787011 DNJ787006:DNJ787011 DXF787006:DXF787011 EHB787006:EHB787011 EQX787006:EQX787011 FAT787006:FAT787011 FKP787006:FKP787011 FUL787006:FUL787011 GEH787006:GEH787011 GOD787006:GOD787011 GXZ787006:GXZ787011 HHV787006:HHV787011 HRR787006:HRR787011 IBN787006:IBN787011 ILJ787006:ILJ787011 IVF787006:IVF787011 JFB787006:JFB787011 JOX787006:JOX787011 JYT787006:JYT787011 KIP787006:KIP787011 KSL787006:KSL787011 LCH787006:LCH787011 LMD787006:LMD787011 LVZ787006:LVZ787011 MFV787006:MFV787011 MPR787006:MPR787011 MZN787006:MZN787011 NJJ787006:NJJ787011 NTF787006:NTF787011 ODB787006:ODB787011 OMX787006:OMX787011 OWT787006:OWT787011 PGP787006:PGP787011 PQL787006:PQL787011 QAH787006:QAH787011 QKD787006:QKD787011 QTZ787006:QTZ787011 RDV787006:RDV787011 RNR787006:RNR787011 RXN787006:RXN787011 SHJ787006:SHJ787011 SRF787006:SRF787011 TBB787006:TBB787011 TKX787006:TKX787011 TUT787006:TUT787011 UEP787006:UEP787011 UOL787006:UOL787011 UYH787006:UYH787011 VID787006:VID787011 VRZ787006:VRZ787011 WBV787006:WBV787011 WLR787006:WLR787011 WVN787006:WVN787011 F852542:F852547 JB852542:JB852547 SX852542:SX852547 ACT852542:ACT852547 AMP852542:AMP852547 AWL852542:AWL852547 BGH852542:BGH852547 BQD852542:BQD852547 BZZ852542:BZZ852547 CJV852542:CJV852547 CTR852542:CTR852547 DDN852542:DDN852547 DNJ852542:DNJ852547 DXF852542:DXF852547 EHB852542:EHB852547 EQX852542:EQX852547 FAT852542:FAT852547 FKP852542:FKP852547 FUL852542:FUL852547 GEH852542:GEH852547 GOD852542:GOD852547 GXZ852542:GXZ852547 HHV852542:HHV852547 HRR852542:HRR852547 IBN852542:IBN852547 ILJ852542:ILJ852547 IVF852542:IVF852547 JFB852542:JFB852547 JOX852542:JOX852547 JYT852542:JYT852547 KIP852542:KIP852547 KSL852542:KSL852547 LCH852542:LCH852547 LMD852542:LMD852547 LVZ852542:LVZ852547 MFV852542:MFV852547 MPR852542:MPR852547 MZN852542:MZN852547 NJJ852542:NJJ852547 NTF852542:NTF852547 ODB852542:ODB852547 OMX852542:OMX852547 OWT852542:OWT852547 PGP852542:PGP852547 PQL852542:PQL852547 QAH852542:QAH852547 QKD852542:QKD852547 QTZ852542:QTZ852547 RDV852542:RDV852547 RNR852542:RNR852547 RXN852542:RXN852547 SHJ852542:SHJ852547 SRF852542:SRF852547 TBB852542:TBB852547 TKX852542:TKX852547 TUT852542:TUT852547 UEP852542:UEP852547 UOL852542:UOL852547 UYH852542:UYH852547 VID852542:VID852547 VRZ852542:VRZ852547 WBV852542:WBV852547 WLR852542:WLR852547 WVN852542:WVN852547 F918078:F918083 JB918078:JB918083 SX918078:SX918083 ACT918078:ACT918083 AMP918078:AMP918083 AWL918078:AWL918083 BGH918078:BGH918083 BQD918078:BQD918083 BZZ918078:BZZ918083 CJV918078:CJV918083 CTR918078:CTR918083 DDN918078:DDN918083 DNJ918078:DNJ918083 DXF918078:DXF918083 EHB918078:EHB918083 EQX918078:EQX918083 FAT918078:FAT918083 FKP918078:FKP918083 FUL918078:FUL918083 GEH918078:GEH918083 GOD918078:GOD918083 GXZ918078:GXZ918083 HHV918078:HHV918083 HRR918078:HRR918083 IBN918078:IBN918083 ILJ918078:ILJ918083 IVF918078:IVF918083 JFB918078:JFB918083 JOX918078:JOX918083 JYT918078:JYT918083 KIP918078:KIP918083 KSL918078:KSL918083 LCH918078:LCH918083 LMD918078:LMD918083 LVZ918078:LVZ918083 MFV918078:MFV918083 MPR918078:MPR918083 MZN918078:MZN918083 NJJ918078:NJJ918083 NTF918078:NTF918083 ODB918078:ODB918083 OMX918078:OMX918083 OWT918078:OWT918083 PGP918078:PGP918083 PQL918078:PQL918083 QAH918078:QAH918083 QKD918078:QKD918083 QTZ918078:QTZ918083 RDV918078:RDV918083 RNR918078:RNR918083 RXN918078:RXN918083 SHJ918078:SHJ918083 SRF918078:SRF918083 TBB918078:TBB918083 TKX918078:TKX918083 TUT918078:TUT918083 UEP918078:UEP918083 UOL918078:UOL918083 UYH918078:UYH918083 VID918078:VID918083 VRZ918078:VRZ918083 WBV918078:WBV918083 WLR918078:WLR918083 WVN918078:WVN918083 F983614:F983619 JB983614:JB983619 SX983614:SX983619 ACT983614:ACT983619 AMP983614:AMP983619 AWL983614:AWL983619 BGH983614:BGH983619 BQD983614:BQD983619 BZZ983614:BZZ983619 CJV983614:CJV983619 CTR983614:CTR983619 DDN983614:DDN983619 DNJ983614:DNJ983619 DXF983614:DXF983619 EHB983614:EHB983619 EQX983614:EQX983619 FAT983614:FAT983619 FKP983614:FKP983619 FUL983614:FUL983619 GEH983614:GEH983619 GOD983614:GOD983619 GXZ983614:GXZ983619 HHV983614:HHV983619 HRR983614:HRR983619 IBN983614:IBN983619 ILJ983614:ILJ983619 IVF983614:IVF983619 JFB983614:JFB983619 JOX983614:JOX983619 JYT983614:JYT983619 KIP983614:KIP983619 KSL983614:KSL983619 LCH983614:LCH983619 LMD983614:LMD983619 LVZ983614:LVZ983619 MFV983614:MFV983619 MPR983614:MPR983619 MZN983614:MZN983619 NJJ983614:NJJ983619 NTF983614:NTF983619 ODB983614:ODB983619 OMX983614:OMX983619 OWT983614:OWT983619 PGP983614:PGP983619 PQL983614:PQL983619 QAH983614:QAH983619 QKD983614:QKD983619 QTZ983614:QTZ983619 RDV983614:RDV983619 RNR983614:RNR983619 RXN983614:RXN983619 SHJ983614:SHJ983619 SRF983614:SRF983619 TBB983614:TBB983619 TKX983614:TKX983619 TUT983614:TUT983619 UEP983614:UEP983619 UOL983614:UOL983619 UYH983614:UYH983619 VID983614:VID983619 VRZ983614:VRZ983619 WBV983614:WBV983619 WLR983614:WLR983619 WVN983614:WVN983619" xr:uid="{00000000-0002-0000-0300-00000A000000}">
      <formula1>$AA$216:$AA$224</formula1>
    </dataValidation>
    <dataValidation type="list" allowBlank="1" showInputMessage="1" showErrorMessage="1" sqref="F579:F584 JB579:JB584 SX579:SX584 ACT579:ACT584 AMP579:AMP584 AWL579:AWL584 BGH579:BGH584 BQD579:BQD584 BZZ579:BZZ584 CJV579:CJV584 CTR579:CTR584 DDN579:DDN584 DNJ579:DNJ584 DXF579:DXF584 EHB579:EHB584 EQX579:EQX584 FAT579:FAT584 FKP579:FKP584 FUL579:FUL584 GEH579:GEH584 GOD579:GOD584 GXZ579:GXZ584 HHV579:HHV584 HRR579:HRR584 IBN579:IBN584 ILJ579:ILJ584 IVF579:IVF584 JFB579:JFB584 JOX579:JOX584 JYT579:JYT584 KIP579:KIP584 KSL579:KSL584 LCH579:LCH584 LMD579:LMD584 LVZ579:LVZ584 MFV579:MFV584 MPR579:MPR584 MZN579:MZN584 NJJ579:NJJ584 NTF579:NTF584 ODB579:ODB584 OMX579:OMX584 OWT579:OWT584 PGP579:PGP584 PQL579:PQL584 QAH579:QAH584 QKD579:QKD584 QTZ579:QTZ584 RDV579:RDV584 RNR579:RNR584 RXN579:RXN584 SHJ579:SHJ584 SRF579:SRF584 TBB579:TBB584 TKX579:TKX584 TUT579:TUT584 UEP579:UEP584 UOL579:UOL584 UYH579:UYH584 VID579:VID584 VRZ579:VRZ584 WBV579:WBV584 WLR579:WLR584 WVN579:WVN584 F66120:F66125 JB66120:JB66125 SX66120:SX66125 ACT66120:ACT66125 AMP66120:AMP66125 AWL66120:AWL66125 BGH66120:BGH66125 BQD66120:BQD66125 BZZ66120:BZZ66125 CJV66120:CJV66125 CTR66120:CTR66125 DDN66120:DDN66125 DNJ66120:DNJ66125 DXF66120:DXF66125 EHB66120:EHB66125 EQX66120:EQX66125 FAT66120:FAT66125 FKP66120:FKP66125 FUL66120:FUL66125 GEH66120:GEH66125 GOD66120:GOD66125 GXZ66120:GXZ66125 HHV66120:HHV66125 HRR66120:HRR66125 IBN66120:IBN66125 ILJ66120:ILJ66125 IVF66120:IVF66125 JFB66120:JFB66125 JOX66120:JOX66125 JYT66120:JYT66125 KIP66120:KIP66125 KSL66120:KSL66125 LCH66120:LCH66125 LMD66120:LMD66125 LVZ66120:LVZ66125 MFV66120:MFV66125 MPR66120:MPR66125 MZN66120:MZN66125 NJJ66120:NJJ66125 NTF66120:NTF66125 ODB66120:ODB66125 OMX66120:OMX66125 OWT66120:OWT66125 PGP66120:PGP66125 PQL66120:PQL66125 QAH66120:QAH66125 QKD66120:QKD66125 QTZ66120:QTZ66125 RDV66120:RDV66125 RNR66120:RNR66125 RXN66120:RXN66125 SHJ66120:SHJ66125 SRF66120:SRF66125 TBB66120:TBB66125 TKX66120:TKX66125 TUT66120:TUT66125 UEP66120:UEP66125 UOL66120:UOL66125 UYH66120:UYH66125 VID66120:VID66125 VRZ66120:VRZ66125 WBV66120:WBV66125 WLR66120:WLR66125 WVN66120:WVN66125 F131656:F131661 JB131656:JB131661 SX131656:SX131661 ACT131656:ACT131661 AMP131656:AMP131661 AWL131656:AWL131661 BGH131656:BGH131661 BQD131656:BQD131661 BZZ131656:BZZ131661 CJV131656:CJV131661 CTR131656:CTR131661 DDN131656:DDN131661 DNJ131656:DNJ131661 DXF131656:DXF131661 EHB131656:EHB131661 EQX131656:EQX131661 FAT131656:FAT131661 FKP131656:FKP131661 FUL131656:FUL131661 GEH131656:GEH131661 GOD131656:GOD131661 GXZ131656:GXZ131661 HHV131656:HHV131661 HRR131656:HRR131661 IBN131656:IBN131661 ILJ131656:ILJ131661 IVF131656:IVF131661 JFB131656:JFB131661 JOX131656:JOX131661 JYT131656:JYT131661 KIP131656:KIP131661 KSL131656:KSL131661 LCH131656:LCH131661 LMD131656:LMD131661 LVZ131656:LVZ131661 MFV131656:MFV131661 MPR131656:MPR131661 MZN131656:MZN131661 NJJ131656:NJJ131661 NTF131656:NTF131661 ODB131656:ODB131661 OMX131656:OMX131661 OWT131656:OWT131661 PGP131656:PGP131661 PQL131656:PQL131661 QAH131656:QAH131661 QKD131656:QKD131661 QTZ131656:QTZ131661 RDV131656:RDV131661 RNR131656:RNR131661 RXN131656:RXN131661 SHJ131656:SHJ131661 SRF131656:SRF131661 TBB131656:TBB131661 TKX131656:TKX131661 TUT131656:TUT131661 UEP131656:UEP131661 UOL131656:UOL131661 UYH131656:UYH131661 VID131656:VID131661 VRZ131656:VRZ131661 WBV131656:WBV131661 WLR131656:WLR131661 WVN131656:WVN131661 F197192:F197197 JB197192:JB197197 SX197192:SX197197 ACT197192:ACT197197 AMP197192:AMP197197 AWL197192:AWL197197 BGH197192:BGH197197 BQD197192:BQD197197 BZZ197192:BZZ197197 CJV197192:CJV197197 CTR197192:CTR197197 DDN197192:DDN197197 DNJ197192:DNJ197197 DXF197192:DXF197197 EHB197192:EHB197197 EQX197192:EQX197197 FAT197192:FAT197197 FKP197192:FKP197197 FUL197192:FUL197197 GEH197192:GEH197197 GOD197192:GOD197197 GXZ197192:GXZ197197 HHV197192:HHV197197 HRR197192:HRR197197 IBN197192:IBN197197 ILJ197192:ILJ197197 IVF197192:IVF197197 JFB197192:JFB197197 JOX197192:JOX197197 JYT197192:JYT197197 KIP197192:KIP197197 KSL197192:KSL197197 LCH197192:LCH197197 LMD197192:LMD197197 LVZ197192:LVZ197197 MFV197192:MFV197197 MPR197192:MPR197197 MZN197192:MZN197197 NJJ197192:NJJ197197 NTF197192:NTF197197 ODB197192:ODB197197 OMX197192:OMX197197 OWT197192:OWT197197 PGP197192:PGP197197 PQL197192:PQL197197 QAH197192:QAH197197 QKD197192:QKD197197 QTZ197192:QTZ197197 RDV197192:RDV197197 RNR197192:RNR197197 RXN197192:RXN197197 SHJ197192:SHJ197197 SRF197192:SRF197197 TBB197192:TBB197197 TKX197192:TKX197197 TUT197192:TUT197197 UEP197192:UEP197197 UOL197192:UOL197197 UYH197192:UYH197197 VID197192:VID197197 VRZ197192:VRZ197197 WBV197192:WBV197197 WLR197192:WLR197197 WVN197192:WVN197197 F262728:F262733 JB262728:JB262733 SX262728:SX262733 ACT262728:ACT262733 AMP262728:AMP262733 AWL262728:AWL262733 BGH262728:BGH262733 BQD262728:BQD262733 BZZ262728:BZZ262733 CJV262728:CJV262733 CTR262728:CTR262733 DDN262728:DDN262733 DNJ262728:DNJ262733 DXF262728:DXF262733 EHB262728:EHB262733 EQX262728:EQX262733 FAT262728:FAT262733 FKP262728:FKP262733 FUL262728:FUL262733 GEH262728:GEH262733 GOD262728:GOD262733 GXZ262728:GXZ262733 HHV262728:HHV262733 HRR262728:HRR262733 IBN262728:IBN262733 ILJ262728:ILJ262733 IVF262728:IVF262733 JFB262728:JFB262733 JOX262728:JOX262733 JYT262728:JYT262733 KIP262728:KIP262733 KSL262728:KSL262733 LCH262728:LCH262733 LMD262728:LMD262733 LVZ262728:LVZ262733 MFV262728:MFV262733 MPR262728:MPR262733 MZN262728:MZN262733 NJJ262728:NJJ262733 NTF262728:NTF262733 ODB262728:ODB262733 OMX262728:OMX262733 OWT262728:OWT262733 PGP262728:PGP262733 PQL262728:PQL262733 QAH262728:QAH262733 QKD262728:QKD262733 QTZ262728:QTZ262733 RDV262728:RDV262733 RNR262728:RNR262733 RXN262728:RXN262733 SHJ262728:SHJ262733 SRF262728:SRF262733 TBB262728:TBB262733 TKX262728:TKX262733 TUT262728:TUT262733 UEP262728:UEP262733 UOL262728:UOL262733 UYH262728:UYH262733 VID262728:VID262733 VRZ262728:VRZ262733 WBV262728:WBV262733 WLR262728:WLR262733 WVN262728:WVN262733 F328264:F328269 JB328264:JB328269 SX328264:SX328269 ACT328264:ACT328269 AMP328264:AMP328269 AWL328264:AWL328269 BGH328264:BGH328269 BQD328264:BQD328269 BZZ328264:BZZ328269 CJV328264:CJV328269 CTR328264:CTR328269 DDN328264:DDN328269 DNJ328264:DNJ328269 DXF328264:DXF328269 EHB328264:EHB328269 EQX328264:EQX328269 FAT328264:FAT328269 FKP328264:FKP328269 FUL328264:FUL328269 GEH328264:GEH328269 GOD328264:GOD328269 GXZ328264:GXZ328269 HHV328264:HHV328269 HRR328264:HRR328269 IBN328264:IBN328269 ILJ328264:ILJ328269 IVF328264:IVF328269 JFB328264:JFB328269 JOX328264:JOX328269 JYT328264:JYT328269 KIP328264:KIP328269 KSL328264:KSL328269 LCH328264:LCH328269 LMD328264:LMD328269 LVZ328264:LVZ328269 MFV328264:MFV328269 MPR328264:MPR328269 MZN328264:MZN328269 NJJ328264:NJJ328269 NTF328264:NTF328269 ODB328264:ODB328269 OMX328264:OMX328269 OWT328264:OWT328269 PGP328264:PGP328269 PQL328264:PQL328269 QAH328264:QAH328269 QKD328264:QKD328269 QTZ328264:QTZ328269 RDV328264:RDV328269 RNR328264:RNR328269 RXN328264:RXN328269 SHJ328264:SHJ328269 SRF328264:SRF328269 TBB328264:TBB328269 TKX328264:TKX328269 TUT328264:TUT328269 UEP328264:UEP328269 UOL328264:UOL328269 UYH328264:UYH328269 VID328264:VID328269 VRZ328264:VRZ328269 WBV328264:WBV328269 WLR328264:WLR328269 WVN328264:WVN328269 F393800:F393805 JB393800:JB393805 SX393800:SX393805 ACT393800:ACT393805 AMP393800:AMP393805 AWL393800:AWL393805 BGH393800:BGH393805 BQD393800:BQD393805 BZZ393800:BZZ393805 CJV393800:CJV393805 CTR393800:CTR393805 DDN393800:DDN393805 DNJ393800:DNJ393805 DXF393800:DXF393805 EHB393800:EHB393805 EQX393800:EQX393805 FAT393800:FAT393805 FKP393800:FKP393805 FUL393800:FUL393805 GEH393800:GEH393805 GOD393800:GOD393805 GXZ393800:GXZ393805 HHV393800:HHV393805 HRR393800:HRR393805 IBN393800:IBN393805 ILJ393800:ILJ393805 IVF393800:IVF393805 JFB393800:JFB393805 JOX393800:JOX393805 JYT393800:JYT393805 KIP393800:KIP393805 KSL393800:KSL393805 LCH393800:LCH393805 LMD393800:LMD393805 LVZ393800:LVZ393805 MFV393800:MFV393805 MPR393800:MPR393805 MZN393800:MZN393805 NJJ393800:NJJ393805 NTF393800:NTF393805 ODB393800:ODB393805 OMX393800:OMX393805 OWT393800:OWT393805 PGP393800:PGP393805 PQL393800:PQL393805 QAH393800:QAH393805 QKD393800:QKD393805 QTZ393800:QTZ393805 RDV393800:RDV393805 RNR393800:RNR393805 RXN393800:RXN393805 SHJ393800:SHJ393805 SRF393800:SRF393805 TBB393800:TBB393805 TKX393800:TKX393805 TUT393800:TUT393805 UEP393800:UEP393805 UOL393800:UOL393805 UYH393800:UYH393805 VID393800:VID393805 VRZ393800:VRZ393805 WBV393800:WBV393805 WLR393800:WLR393805 WVN393800:WVN393805 F459336:F459341 JB459336:JB459341 SX459336:SX459341 ACT459336:ACT459341 AMP459336:AMP459341 AWL459336:AWL459341 BGH459336:BGH459341 BQD459336:BQD459341 BZZ459336:BZZ459341 CJV459336:CJV459341 CTR459336:CTR459341 DDN459336:DDN459341 DNJ459336:DNJ459341 DXF459336:DXF459341 EHB459336:EHB459341 EQX459336:EQX459341 FAT459336:FAT459341 FKP459336:FKP459341 FUL459336:FUL459341 GEH459336:GEH459341 GOD459336:GOD459341 GXZ459336:GXZ459341 HHV459336:HHV459341 HRR459336:HRR459341 IBN459336:IBN459341 ILJ459336:ILJ459341 IVF459336:IVF459341 JFB459336:JFB459341 JOX459336:JOX459341 JYT459336:JYT459341 KIP459336:KIP459341 KSL459336:KSL459341 LCH459336:LCH459341 LMD459336:LMD459341 LVZ459336:LVZ459341 MFV459336:MFV459341 MPR459336:MPR459341 MZN459336:MZN459341 NJJ459336:NJJ459341 NTF459336:NTF459341 ODB459336:ODB459341 OMX459336:OMX459341 OWT459336:OWT459341 PGP459336:PGP459341 PQL459336:PQL459341 QAH459336:QAH459341 QKD459336:QKD459341 QTZ459336:QTZ459341 RDV459336:RDV459341 RNR459336:RNR459341 RXN459336:RXN459341 SHJ459336:SHJ459341 SRF459336:SRF459341 TBB459336:TBB459341 TKX459336:TKX459341 TUT459336:TUT459341 UEP459336:UEP459341 UOL459336:UOL459341 UYH459336:UYH459341 VID459336:VID459341 VRZ459336:VRZ459341 WBV459336:WBV459341 WLR459336:WLR459341 WVN459336:WVN459341 F524872:F524877 JB524872:JB524877 SX524872:SX524877 ACT524872:ACT524877 AMP524872:AMP524877 AWL524872:AWL524877 BGH524872:BGH524877 BQD524872:BQD524877 BZZ524872:BZZ524877 CJV524872:CJV524877 CTR524872:CTR524877 DDN524872:DDN524877 DNJ524872:DNJ524877 DXF524872:DXF524877 EHB524872:EHB524877 EQX524872:EQX524877 FAT524872:FAT524877 FKP524872:FKP524877 FUL524872:FUL524877 GEH524872:GEH524877 GOD524872:GOD524877 GXZ524872:GXZ524877 HHV524872:HHV524877 HRR524872:HRR524877 IBN524872:IBN524877 ILJ524872:ILJ524877 IVF524872:IVF524877 JFB524872:JFB524877 JOX524872:JOX524877 JYT524872:JYT524877 KIP524872:KIP524877 KSL524872:KSL524877 LCH524872:LCH524877 LMD524872:LMD524877 LVZ524872:LVZ524877 MFV524872:MFV524877 MPR524872:MPR524877 MZN524872:MZN524877 NJJ524872:NJJ524877 NTF524872:NTF524877 ODB524872:ODB524877 OMX524872:OMX524877 OWT524872:OWT524877 PGP524872:PGP524877 PQL524872:PQL524877 QAH524872:QAH524877 QKD524872:QKD524877 QTZ524872:QTZ524877 RDV524872:RDV524877 RNR524872:RNR524877 RXN524872:RXN524877 SHJ524872:SHJ524877 SRF524872:SRF524877 TBB524872:TBB524877 TKX524872:TKX524877 TUT524872:TUT524877 UEP524872:UEP524877 UOL524872:UOL524877 UYH524872:UYH524877 VID524872:VID524877 VRZ524872:VRZ524877 WBV524872:WBV524877 WLR524872:WLR524877 WVN524872:WVN524877 F590408:F590413 JB590408:JB590413 SX590408:SX590413 ACT590408:ACT590413 AMP590408:AMP590413 AWL590408:AWL590413 BGH590408:BGH590413 BQD590408:BQD590413 BZZ590408:BZZ590413 CJV590408:CJV590413 CTR590408:CTR590413 DDN590408:DDN590413 DNJ590408:DNJ590413 DXF590408:DXF590413 EHB590408:EHB590413 EQX590408:EQX590413 FAT590408:FAT590413 FKP590408:FKP590413 FUL590408:FUL590413 GEH590408:GEH590413 GOD590408:GOD590413 GXZ590408:GXZ590413 HHV590408:HHV590413 HRR590408:HRR590413 IBN590408:IBN590413 ILJ590408:ILJ590413 IVF590408:IVF590413 JFB590408:JFB590413 JOX590408:JOX590413 JYT590408:JYT590413 KIP590408:KIP590413 KSL590408:KSL590413 LCH590408:LCH590413 LMD590408:LMD590413 LVZ590408:LVZ590413 MFV590408:MFV590413 MPR590408:MPR590413 MZN590408:MZN590413 NJJ590408:NJJ590413 NTF590408:NTF590413 ODB590408:ODB590413 OMX590408:OMX590413 OWT590408:OWT590413 PGP590408:PGP590413 PQL590408:PQL590413 QAH590408:QAH590413 QKD590408:QKD590413 QTZ590408:QTZ590413 RDV590408:RDV590413 RNR590408:RNR590413 RXN590408:RXN590413 SHJ590408:SHJ590413 SRF590408:SRF590413 TBB590408:TBB590413 TKX590408:TKX590413 TUT590408:TUT590413 UEP590408:UEP590413 UOL590408:UOL590413 UYH590408:UYH590413 VID590408:VID590413 VRZ590408:VRZ590413 WBV590408:WBV590413 WLR590408:WLR590413 WVN590408:WVN590413 F655944:F655949 JB655944:JB655949 SX655944:SX655949 ACT655944:ACT655949 AMP655944:AMP655949 AWL655944:AWL655949 BGH655944:BGH655949 BQD655944:BQD655949 BZZ655944:BZZ655949 CJV655944:CJV655949 CTR655944:CTR655949 DDN655944:DDN655949 DNJ655944:DNJ655949 DXF655944:DXF655949 EHB655944:EHB655949 EQX655944:EQX655949 FAT655944:FAT655949 FKP655944:FKP655949 FUL655944:FUL655949 GEH655944:GEH655949 GOD655944:GOD655949 GXZ655944:GXZ655949 HHV655944:HHV655949 HRR655944:HRR655949 IBN655944:IBN655949 ILJ655944:ILJ655949 IVF655944:IVF655949 JFB655944:JFB655949 JOX655944:JOX655949 JYT655944:JYT655949 KIP655944:KIP655949 KSL655944:KSL655949 LCH655944:LCH655949 LMD655944:LMD655949 LVZ655944:LVZ655949 MFV655944:MFV655949 MPR655944:MPR655949 MZN655944:MZN655949 NJJ655944:NJJ655949 NTF655944:NTF655949 ODB655944:ODB655949 OMX655944:OMX655949 OWT655944:OWT655949 PGP655944:PGP655949 PQL655944:PQL655949 QAH655944:QAH655949 QKD655944:QKD655949 QTZ655944:QTZ655949 RDV655944:RDV655949 RNR655944:RNR655949 RXN655944:RXN655949 SHJ655944:SHJ655949 SRF655944:SRF655949 TBB655944:TBB655949 TKX655944:TKX655949 TUT655944:TUT655949 UEP655944:UEP655949 UOL655944:UOL655949 UYH655944:UYH655949 VID655944:VID655949 VRZ655944:VRZ655949 WBV655944:WBV655949 WLR655944:WLR655949 WVN655944:WVN655949 F721480:F721485 JB721480:JB721485 SX721480:SX721485 ACT721480:ACT721485 AMP721480:AMP721485 AWL721480:AWL721485 BGH721480:BGH721485 BQD721480:BQD721485 BZZ721480:BZZ721485 CJV721480:CJV721485 CTR721480:CTR721485 DDN721480:DDN721485 DNJ721480:DNJ721485 DXF721480:DXF721485 EHB721480:EHB721485 EQX721480:EQX721485 FAT721480:FAT721485 FKP721480:FKP721485 FUL721480:FUL721485 GEH721480:GEH721485 GOD721480:GOD721485 GXZ721480:GXZ721485 HHV721480:HHV721485 HRR721480:HRR721485 IBN721480:IBN721485 ILJ721480:ILJ721485 IVF721480:IVF721485 JFB721480:JFB721485 JOX721480:JOX721485 JYT721480:JYT721485 KIP721480:KIP721485 KSL721480:KSL721485 LCH721480:LCH721485 LMD721480:LMD721485 LVZ721480:LVZ721485 MFV721480:MFV721485 MPR721480:MPR721485 MZN721480:MZN721485 NJJ721480:NJJ721485 NTF721480:NTF721485 ODB721480:ODB721485 OMX721480:OMX721485 OWT721480:OWT721485 PGP721480:PGP721485 PQL721480:PQL721485 QAH721480:QAH721485 QKD721480:QKD721485 QTZ721480:QTZ721485 RDV721480:RDV721485 RNR721480:RNR721485 RXN721480:RXN721485 SHJ721480:SHJ721485 SRF721480:SRF721485 TBB721480:TBB721485 TKX721480:TKX721485 TUT721480:TUT721485 UEP721480:UEP721485 UOL721480:UOL721485 UYH721480:UYH721485 VID721480:VID721485 VRZ721480:VRZ721485 WBV721480:WBV721485 WLR721480:WLR721485 WVN721480:WVN721485 F787016:F787021 JB787016:JB787021 SX787016:SX787021 ACT787016:ACT787021 AMP787016:AMP787021 AWL787016:AWL787021 BGH787016:BGH787021 BQD787016:BQD787021 BZZ787016:BZZ787021 CJV787016:CJV787021 CTR787016:CTR787021 DDN787016:DDN787021 DNJ787016:DNJ787021 DXF787016:DXF787021 EHB787016:EHB787021 EQX787016:EQX787021 FAT787016:FAT787021 FKP787016:FKP787021 FUL787016:FUL787021 GEH787016:GEH787021 GOD787016:GOD787021 GXZ787016:GXZ787021 HHV787016:HHV787021 HRR787016:HRR787021 IBN787016:IBN787021 ILJ787016:ILJ787021 IVF787016:IVF787021 JFB787016:JFB787021 JOX787016:JOX787021 JYT787016:JYT787021 KIP787016:KIP787021 KSL787016:KSL787021 LCH787016:LCH787021 LMD787016:LMD787021 LVZ787016:LVZ787021 MFV787016:MFV787021 MPR787016:MPR787021 MZN787016:MZN787021 NJJ787016:NJJ787021 NTF787016:NTF787021 ODB787016:ODB787021 OMX787016:OMX787021 OWT787016:OWT787021 PGP787016:PGP787021 PQL787016:PQL787021 QAH787016:QAH787021 QKD787016:QKD787021 QTZ787016:QTZ787021 RDV787016:RDV787021 RNR787016:RNR787021 RXN787016:RXN787021 SHJ787016:SHJ787021 SRF787016:SRF787021 TBB787016:TBB787021 TKX787016:TKX787021 TUT787016:TUT787021 UEP787016:UEP787021 UOL787016:UOL787021 UYH787016:UYH787021 VID787016:VID787021 VRZ787016:VRZ787021 WBV787016:WBV787021 WLR787016:WLR787021 WVN787016:WVN787021 F852552:F852557 JB852552:JB852557 SX852552:SX852557 ACT852552:ACT852557 AMP852552:AMP852557 AWL852552:AWL852557 BGH852552:BGH852557 BQD852552:BQD852557 BZZ852552:BZZ852557 CJV852552:CJV852557 CTR852552:CTR852557 DDN852552:DDN852557 DNJ852552:DNJ852557 DXF852552:DXF852557 EHB852552:EHB852557 EQX852552:EQX852557 FAT852552:FAT852557 FKP852552:FKP852557 FUL852552:FUL852557 GEH852552:GEH852557 GOD852552:GOD852557 GXZ852552:GXZ852557 HHV852552:HHV852557 HRR852552:HRR852557 IBN852552:IBN852557 ILJ852552:ILJ852557 IVF852552:IVF852557 JFB852552:JFB852557 JOX852552:JOX852557 JYT852552:JYT852557 KIP852552:KIP852557 KSL852552:KSL852557 LCH852552:LCH852557 LMD852552:LMD852557 LVZ852552:LVZ852557 MFV852552:MFV852557 MPR852552:MPR852557 MZN852552:MZN852557 NJJ852552:NJJ852557 NTF852552:NTF852557 ODB852552:ODB852557 OMX852552:OMX852557 OWT852552:OWT852557 PGP852552:PGP852557 PQL852552:PQL852557 QAH852552:QAH852557 QKD852552:QKD852557 QTZ852552:QTZ852557 RDV852552:RDV852557 RNR852552:RNR852557 RXN852552:RXN852557 SHJ852552:SHJ852557 SRF852552:SRF852557 TBB852552:TBB852557 TKX852552:TKX852557 TUT852552:TUT852557 UEP852552:UEP852557 UOL852552:UOL852557 UYH852552:UYH852557 VID852552:VID852557 VRZ852552:VRZ852557 WBV852552:WBV852557 WLR852552:WLR852557 WVN852552:WVN852557 F918088:F918093 JB918088:JB918093 SX918088:SX918093 ACT918088:ACT918093 AMP918088:AMP918093 AWL918088:AWL918093 BGH918088:BGH918093 BQD918088:BQD918093 BZZ918088:BZZ918093 CJV918088:CJV918093 CTR918088:CTR918093 DDN918088:DDN918093 DNJ918088:DNJ918093 DXF918088:DXF918093 EHB918088:EHB918093 EQX918088:EQX918093 FAT918088:FAT918093 FKP918088:FKP918093 FUL918088:FUL918093 GEH918088:GEH918093 GOD918088:GOD918093 GXZ918088:GXZ918093 HHV918088:HHV918093 HRR918088:HRR918093 IBN918088:IBN918093 ILJ918088:ILJ918093 IVF918088:IVF918093 JFB918088:JFB918093 JOX918088:JOX918093 JYT918088:JYT918093 KIP918088:KIP918093 KSL918088:KSL918093 LCH918088:LCH918093 LMD918088:LMD918093 LVZ918088:LVZ918093 MFV918088:MFV918093 MPR918088:MPR918093 MZN918088:MZN918093 NJJ918088:NJJ918093 NTF918088:NTF918093 ODB918088:ODB918093 OMX918088:OMX918093 OWT918088:OWT918093 PGP918088:PGP918093 PQL918088:PQL918093 QAH918088:QAH918093 QKD918088:QKD918093 QTZ918088:QTZ918093 RDV918088:RDV918093 RNR918088:RNR918093 RXN918088:RXN918093 SHJ918088:SHJ918093 SRF918088:SRF918093 TBB918088:TBB918093 TKX918088:TKX918093 TUT918088:TUT918093 UEP918088:UEP918093 UOL918088:UOL918093 UYH918088:UYH918093 VID918088:VID918093 VRZ918088:VRZ918093 WBV918088:WBV918093 WLR918088:WLR918093 WVN918088:WVN918093 F983624:F983629 JB983624:JB983629 SX983624:SX983629 ACT983624:ACT983629 AMP983624:AMP983629 AWL983624:AWL983629 BGH983624:BGH983629 BQD983624:BQD983629 BZZ983624:BZZ983629 CJV983624:CJV983629 CTR983624:CTR983629 DDN983624:DDN983629 DNJ983624:DNJ983629 DXF983624:DXF983629 EHB983624:EHB983629 EQX983624:EQX983629 FAT983624:FAT983629 FKP983624:FKP983629 FUL983624:FUL983629 GEH983624:GEH983629 GOD983624:GOD983629 GXZ983624:GXZ983629 HHV983624:HHV983629 HRR983624:HRR983629 IBN983624:IBN983629 ILJ983624:ILJ983629 IVF983624:IVF983629 JFB983624:JFB983629 JOX983624:JOX983629 JYT983624:JYT983629 KIP983624:KIP983629 KSL983624:KSL983629 LCH983624:LCH983629 LMD983624:LMD983629 LVZ983624:LVZ983629 MFV983624:MFV983629 MPR983624:MPR983629 MZN983624:MZN983629 NJJ983624:NJJ983629 NTF983624:NTF983629 ODB983624:ODB983629 OMX983624:OMX983629 OWT983624:OWT983629 PGP983624:PGP983629 PQL983624:PQL983629 QAH983624:QAH983629 QKD983624:QKD983629 QTZ983624:QTZ983629 RDV983624:RDV983629 RNR983624:RNR983629 RXN983624:RXN983629 SHJ983624:SHJ983629 SRF983624:SRF983629 TBB983624:TBB983629 TKX983624:TKX983629 TUT983624:TUT983629 UEP983624:UEP983629 UOL983624:UOL983629 UYH983624:UYH983629 VID983624:VID983629 VRZ983624:VRZ983629 WBV983624:WBV983629 WLR983624:WLR983629 WVN983624:WVN983629 F381:F382 JB381:JB382 SX381:SX382 ACT381:ACT382 AMP381:AMP382 AWL381:AWL382 BGH381:BGH382 BQD381:BQD382 BZZ381:BZZ382 CJV381:CJV382 CTR381:CTR382 DDN381:DDN382 DNJ381:DNJ382 DXF381:DXF382 EHB381:EHB382 EQX381:EQX382 FAT381:FAT382 FKP381:FKP382 FUL381:FUL382 GEH381:GEH382 GOD381:GOD382 GXZ381:GXZ382 HHV381:HHV382 HRR381:HRR382 IBN381:IBN382 ILJ381:ILJ382 IVF381:IVF382 JFB381:JFB382 JOX381:JOX382 JYT381:JYT382 KIP381:KIP382 KSL381:KSL382 LCH381:LCH382 LMD381:LMD382 LVZ381:LVZ382 MFV381:MFV382 MPR381:MPR382 MZN381:MZN382 NJJ381:NJJ382 NTF381:NTF382 ODB381:ODB382 OMX381:OMX382 OWT381:OWT382 PGP381:PGP382 PQL381:PQL382 QAH381:QAH382 QKD381:QKD382 QTZ381:QTZ382 RDV381:RDV382 RNR381:RNR382 RXN381:RXN382 SHJ381:SHJ382 SRF381:SRF382 TBB381:TBB382 TKX381:TKX382 TUT381:TUT382 UEP381:UEP382 UOL381:UOL382 UYH381:UYH382 VID381:VID382 VRZ381:VRZ382 WBV381:WBV382 WLR381:WLR382 WVN381:WVN382 F65922:F65923 JB65922:JB65923 SX65922:SX65923 ACT65922:ACT65923 AMP65922:AMP65923 AWL65922:AWL65923 BGH65922:BGH65923 BQD65922:BQD65923 BZZ65922:BZZ65923 CJV65922:CJV65923 CTR65922:CTR65923 DDN65922:DDN65923 DNJ65922:DNJ65923 DXF65922:DXF65923 EHB65922:EHB65923 EQX65922:EQX65923 FAT65922:FAT65923 FKP65922:FKP65923 FUL65922:FUL65923 GEH65922:GEH65923 GOD65922:GOD65923 GXZ65922:GXZ65923 HHV65922:HHV65923 HRR65922:HRR65923 IBN65922:IBN65923 ILJ65922:ILJ65923 IVF65922:IVF65923 JFB65922:JFB65923 JOX65922:JOX65923 JYT65922:JYT65923 KIP65922:KIP65923 KSL65922:KSL65923 LCH65922:LCH65923 LMD65922:LMD65923 LVZ65922:LVZ65923 MFV65922:MFV65923 MPR65922:MPR65923 MZN65922:MZN65923 NJJ65922:NJJ65923 NTF65922:NTF65923 ODB65922:ODB65923 OMX65922:OMX65923 OWT65922:OWT65923 PGP65922:PGP65923 PQL65922:PQL65923 QAH65922:QAH65923 QKD65922:QKD65923 QTZ65922:QTZ65923 RDV65922:RDV65923 RNR65922:RNR65923 RXN65922:RXN65923 SHJ65922:SHJ65923 SRF65922:SRF65923 TBB65922:TBB65923 TKX65922:TKX65923 TUT65922:TUT65923 UEP65922:UEP65923 UOL65922:UOL65923 UYH65922:UYH65923 VID65922:VID65923 VRZ65922:VRZ65923 WBV65922:WBV65923 WLR65922:WLR65923 WVN65922:WVN65923 F131458:F131459 JB131458:JB131459 SX131458:SX131459 ACT131458:ACT131459 AMP131458:AMP131459 AWL131458:AWL131459 BGH131458:BGH131459 BQD131458:BQD131459 BZZ131458:BZZ131459 CJV131458:CJV131459 CTR131458:CTR131459 DDN131458:DDN131459 DNJ131458:DNJ131459 DXF131458:DXF131459 EHB131458:EHB131459 EQX131458:EQX131459 FAT131458:FAT131459 FKP131458:FKP131459 FUL131458:FUL131459 GEH131458:GEH131459 GOD131458:GOD131459 GXZ131458:GXZ131459 HHV131458:HHV131459 HRR131458:HRR131459 IBN131458:IBN131459 ILJ131458:ILJ131459 IVF131458:IVF131459 JFB131458:JFB131459 JOX131458:JOX131459 JYT131458:JYT131459 KIP131458:KIP131459 KSL131458:KSL131459 LCH131458:LCH131459 LMD131458:LMD131459 LVZ131458:LVZ131459 MFV131458:MFV131459 MPR131458:MPR131459 MZN131458:MZN131459 NJJ131458:NJJ131459 NTF131458:NTF131459 ODB131458:ODB131459 OMX131458:OMX131459 OWT131458:OWT131459 PGP131458:PGP131459 PQL131458:PQL131459 QAH131458:QAH131459 QKD131458:QKD131459 QTZ131458:QTZ131459 RDV131458:RDV131459 RNR131458:RNR131459 RXN131458:RXN131459 SHJ131458:SHJ131459 SRF131458:SRF131459 TBB131458:TBB131459 TKX131458:TKX131459 TUT131458:TUT131459 UEP131458:UEP131459 UOL131458:UOL131459 UYH131458:UYH131459 VID131458:VID131459 VRZ131458:VRZ131459 WBV131458:WBV131459 WLR131458:WLR131459 WVN131458:WVN131459 F196994:F196995 JB196994:JB196995 SX196994:SX196995 ACT196994:ACT196995 AMP196994:AMP196995 AWL196994:AWL196995 BGH196994:BGH196995 BQD196994:BQD196995 BZZ196994:BZZ196995 CJV196994:CJV196995 CTR196994:CTR196995 DDN196994:DDN196995 DNJ196994:DNJ196995 DXF196994:DXF196995 EHB196994:EHB196995 EQX196994:EQX196995 FAT196994:FAT196995 FKP196994:FKP196995 FUL196994:FUL196995 GEH196994:GEH196995 GOD196994:GOD196995 GXZ196994:GXZ196995 HHV196994:HHV196995 HRR196994:HRR196995 IBN196994:IBN196995 ILJ196994:ILJ196995 IVF196994:IVF196995 JFB196994:JFB196995 JOX196994:JOX196995 JYT196994:JYT196995 KIP196994:KIP196995 KSL196994:KSL196995 LCH196994:LCH196995 LMD196994:LMD196995 LVZ196994:LVZ196995 MFV196994:MFV196995 MPR196994:MPR196995 MZN196994:MZN196995 NJJ196994:NJJ196995 NTF196994:NTF196995 ODB196994:ODB196995 OMX196994:OMX196995 OWT196994:OWT196995 PGP196994:PGP196995 PQL196994:PQL196995 QAH196994:QAH196995 QKD196994:QKD196995 QTZ196994:QTZ196995 RDV196994:RDV196995 RNR196994:RNR196995 RXN196994:RXN196995 SHJ196994:SHJ196995 SRF196994:SRF196995 TBB196994:TBB196995 TKX196994:TKX196995 TUT196994:TUT196995 UEP196994:UEP196995 UOL196994:UOL196995 UYH196994:UYH196995 VID196994:VID196995 VRZ196994:VRZ196995 WBV196994:WBV196995 WLR196994:WLR196995 WVN196994:WVN196995 F262530:F262531 JB262530:JB262531 SX262530:SX262531 ACT262530:ACT262531 AMP262530:AMP262531 AWL262530:AWL262531 BGH262530:BGH262531 BQD262530:BQD262531 BZZ262530:BZZ262531 CJV262530:CJV262531 CTR262530:CTR262531 DDN262530:DDN262531 DNJ262530:DNJ262531 DXF262530:DXF262531 EHB262530:EHB262531 EQX262530:EQX262531 FAT262530:FAT262531 FKP262530:FKP262531 FUL262530:FUL262531 GEH262530:GEH262531 GOD262530:GOD262531 GXZ262530:GXZ262531 HHV262530:HHV262531 HRR262530:HRR262531 IBN262530:IBN262531 ILJ262530:ILJ262531 IVF262530:IVF262531 JFB262530:JFB262531 JOX262530:JOX262531 JYT262530:JYT262531 KIP262530:KIP262531 KSL262530:KSL262531 LCH262530:LCH262531 LMD262530:LMD262531 LVZ262530:LVZ262531 MFV262530:MFV262531 MPR262530:MPR262531 MZN262530:MZN262531 NJJ262530:NJJ262531 NTF262530:NTF262531 ODB262530:ODB262531 OMX262530:OMX262531 OWT262530:OWT262531 PGP262530:PGP262531 PQL262530:PQL262531 QAH262530:QAH262531 QKD262530:QKD262531 QTZ262530:QTZ262531 RDV262530:RDV262531 RNR262530:RNR262531 RXN262530:RXN262531 SHJ262530:SHJ262531 SRF262530:SRF262531 TBB262530:TBB262531 TKX262530:TKX262531 TUT262530:TUT262531 UEP262530:UEP262531 UOL262530:UOL262531 UYH262530:UYH262531 VID262530:VID262531 VRZ262530:VRZ262531 WBV262530:WBV262531 WLR262530:WLR262531 WVN262530:WVN262531 F328066:F328067 JB328066:JB328067 SX328066:SX328067 ACT328066:ACT328067 AMP328066:AMP328067 AWL328066:AWL328067 BGH328066:BGH328067 BQD328066:BQD328067 BZZ328066:BZZ328067 CJV328066:CJV328067 CTR328066:CTR328067 DDN328066:DDN328067 DNJ328066:DNJ328067 DXF328066:DXF328067 EHB328066:EHB328067 EQX328066:EQX328067 FAT328066:FAT328067 FKP328066:FKP328067 FUL328066:FUL328067 GEH328066:GEH328067 GOD328066:GOD328067 GXZ328066:GXZ328067 HHV328066:HHV328067 HRR328066:HRR328067 IBN328066:IBN328067 ILJ328066:ILJ328067 IVF328066:IVF328067 JFB328066:JFB328067 JOX328066:JOX328067 JYT328066:JYT328067 KIP328066:KIP328067 KSL328066:KSL328067 LCH328066:LCH328067 LMD328066:LMD328067 LVZ328066:LVZ328067 MFV328066:MFV328067 MPR328066:MPR328067 MZN328066:MZN328067 NJJ328066:NJJ328067 NTF328066:NTF328067 ODB328066:ODB328067 OMX328066:OMX328067 OWT328066:OWT328067 PGP328066:PGP328067 PQL328066:PQL328067 QAH328066:QAH328067 QKD328066:QKD328067 QTZ328066:QTZ328067 RDV328066:RDV328067 RNR328066:RNR328067 RXN328066:RXN328067 SHJ328066:SHJ328067 SRF328066:SRF328067 TBB328066:TBB328067 TKX328066:TKX328067 TUT328066:TUT328067 UEP328066:UEP328067 UOL328066:UOL328067 UYH328066:UYH328067 VID328066:VID328067 VRZ328066:VRZ328067 WBV328066:WBV328067 WLR328066:WLR328067 WVN328066:WVN328067 F393602:F393603 JB393602:JB393603 SX393602:SX393603 ACT393602:ACT393603 AMP393602:AMP393603 AWL393602:AWL393603 BGH393602:BGH393603 BQD393602:BQD393603 BZZ393602:BZZ393603 CJV393602:CJV393603 CTR393602:CTR393603 DDN393602:DDN393603 DNJ393602:DNJ393603 DXF393602:DXF393603 EHB393602:EHB393603 EQX393602:EQX393603 FAT393602:FAT393603 FKP393602:FKP393603 FUL393602:FUL393603 GEH393602:GEH393603 GOD393602:GOD393603 GXZ393602:GXZ393603 HHV393602:HHV393603 HRR393602:HRR393603 IBN393602:IBN393603 ILJ393602:ILJ393603 IVF393602:IVF393603 JFB393602:JFB393603 JOX393602:JOX393603 JYT393602:JYT393603 KIP393602:KIP393603 KSL393602:KSL393603 LCH393602:LCH393603 LMD393602:LMD393603 LVZ393602:LVZ393603 MFV393602:MFV393603 MPR393602:MPR393603 MZN393602:MZN393603 NJJ393602:NJJ393603 NTF393602:NTF393603 ODB393602:ODB393603 OMX393602:OMX393603 OWT393602:OWT393603 PGP393602:PGP393603 PQL393602:PQL393603 QAH393602:QAH393603 QKD393602:QKD393603 QTZ393602:QTZ393603 RDV393602:RDV393603 RNR393602:RNR393603 RXN393602:RXN393603 SHJ393602:SHJ393603 SRF393602:SRF393603 TBB393602:TBB393603 TKX393602:TKX393603 TUT393602:TUT393603 UEP393602:UEP393603 UOL393602:UOL393603 UYH393602:UYH393603 VID393602:VID393603 VRZ393602:VRZ393603 WBV393602:WBV393603 WLR393602:WLR393603 WVN393602:WVN393603 F459138:F459139 JB459138:JB459139 SX459138:SX459139 ACT459138:ACT459139 AMP459138:AMP459139 AWL459138:AWL459139 BGH459138:BGH459139 BQD459138:BQD459139 BZZ459138:BZZ459139 CJV459138:CJV459139 CTR459138:CTR459139 DDN459138:DDN459139 DNJ459138:DNJ459139 DXF459138:DXF459139 EHB459138:EHB459139 EQX459138:EQX459139 FAT459138:FAT459139 FKP459138:FKP459139 FUL459138:FUL459139 GEH459138:GEH459139 GOD459138:GOD459139 GXZ459138:GXZ459139 HHV459138:HHV459139 HRR459138:HRR459139 IBN459138:IBN459139 ILJ459138:ILJ459139 IVF459138:IVF459139 JFB459138:JFB459139 JOX459138:JOX459139 JYT459138:JYT459139 KIP459138:KIP459139 KSL459138:KSL459139 LCH459138:LCH459139 LMD459138:LMD459139 LVZ459138:LVZ459139 MFV459138:MFV459139 MPR459138:MPR459139 MZN459138:MZN459139 NJJ459138:NJJ459139 NTF459138:NTF459139 ODB459138:ODB459139 OMX459138:OMX459139 OWT459138:OWT459139 PGP459138:PGP459139 PQL459138:PQL459139 QAH459138:QAH459139 QKD459138:QKD459139 QTZ459138:QTZ459139 RDV459138:RDV459139 RNR459138:RNR459139 RXN459138:RXN459139 SHJ459138:SHJ459139 SRF459138:SRF459139 TBB459138:TBB459139 TKX459138:TKX459139 TUT459138:TUT459139 UEP459138:UEP459139 UOL459138:UOL459139 UYH459138:UYH459139 VID459138:VID459139 VRZ459138:VRZ459139 WBV459138:WBV459139 WLR459138:WLR459139 WVN459138:WVN459139 F524674:F524675 JB524674:JB524675 SX524674:SX524675 ACT524674:ACT524675 AMP524674:AMP524675 AWL524674:AWL524675 BGH524674:BGH524675 BQD524674:BQD524675 BZZ524674:BZZ524675 CJV524674:CJV524675 CTR524674:CTR524675 DDN524674:DDN524675 DNJ524674:DNJ524675 DXF524674:DXF524675 EHB524674:EHB524675 EQX524674:EQX524675 FAT524674:FAT524675 FKP524674:FKP524675 FUL524674:FUL524675 GEH524674:GEH524675 GOD524674:GOD524675 GXZ524674:GXZ524675 HHV524674:HHV524675 HRR524674:HRR524675 IBN524674:IBN524675 ILJ524674:ILJ524675 IVF524674:IVF524675 JFB524674:JFB524675 JOX524674:JOX524675 JYT524674:JYT524675 KIP524674:KIP524675 KSL524674:KSL524675 LCH524674:LCH524675 LMD524674:LMD524675 LVZ524674:LVZ524675 MFV524674:MFV524675 MPR524674:MPR524675 MZN524674:MZN524675 NJJ524674:NJJ524675 NTF524674:NTF524675 ODB524674:ODB524675 OMX524674:OMX524675 OWT524674:OWT524675 PGP524674:PGP524675 PQL524674:PQL524675 QAH524674:QAH524675 QKD524674:QKD524675 QTZ524674:QTZ524675 RDV524674:RDV524675 RNR524674:RNR524675 RXN524674:RXN524675 SHJ524674:SHJ524675 SRF524674:SRF524675 TBB524674:TBB524675 TKX524674:TKX524675 TUT524674:TUT524675 UEP524674:UEP524675 UOL524674:UOL524675 UYH524674:UYH524675 VID524674:VID524675 VRZ524674:VRZ524675 WBV524674:WBV524675 WLR524674:WLR524675 WVN524674:WVN524675 F590210:F590211 JB590210:JB590211 SX590210:SX590211 ACT590210:ACT590211 AMP590210:AMP590211 AWL590210:AWL590211 BGH590210:BGH590211 BQD590210:BQD590211 BZZ590210:BZZ590211 CJV590210:CJV590211 CTR590210:CTR590211 DDN590210:DDN590211 DNJ590210:DNJ590211 DXF590210:DXF590211 EHB590210:EHB590211 EQX590210:EQX590211 FAT590210:FAT590211 FKP590210:FKP590211 FUL590210:FUL590211 GEH590210:GEH590211 GOD590210:GOD590211 GXZ590210:GXZ590211 HHV590210:HHV590211 HRR590210:HRR590211 IBN590210:IBN590211 ILJ590210:ILJ590211 IVF590210:IVF590211 JFB590210:JFB590211 JOX590210:JOX590211 JYT590210:JYT590211 KIP590210:KIP590211 KSL590210:KSL590211 LCH590210:LCH590211 LMD590210:LMD590211 LVZ590210:LVZ590211 MFV590210:MFV590211 MPR590210:MPR590211 MZN590210:MZN590211 NJJ590210:NJJ590211 NTF590210:NTF590211 ODB590210:ODB590211 OMX590210:OMX590211 OWT590210:OWT590211 PGP590210:PGP590211 PQL590210:PQL590211 QAH590210:QAH590211 QKD590210:QKD590211 QTZ590210:QTZ590211 RDV590210:RDV590211 RNR590210:RNR590211 RXN590210:RXN590211 SHJ590210:SHJ590211 SRF590210:SRF590211 TBB590210:TBB590211 TKX590210:TKX590211 TUT590210:TUT590211 UEP590210:UEP590211 UOL590210:UOL590211 UYH590210:UYH590211 VID590210:VID590211 VRZ590210:VRZ590211 WBV590210:WBV590211 WLR590210:WLR590211 WVN590210:WVN590211 F655746:F655747 JB655746:JB655747 SX655746:SX655747 ACT655746:ACT655747 AMP655746:AMP655747 AWL655746:AWL655747 BGH655746:BGH655747 BQD655746:BQD655747 BZZ655746:BZZ655747 CJV655746:CJV655747 CTR655746:CTR655747 DDN655746:DDN655747 DNJ655746:DNJ655747 DXF655746:DXF655747 EHB655746:EHB655747 EQX655746:EQX655747 FAT655746:FAT655747 FKP655746:FKP655747 FUL655746:FUL655747 GEH655746:GEH655747 GOD655746:GOD655747 GXZ655746:GXZ655747 HHV655746:HHV655747 HRR655746:HRR655747 IBN655746:IBN655747 ILJ655746:ILJ655747 IVF655746:IVF655747 JFB655746:JFB655747 JOX655746:JOX655747 JYT655746:JYT655747 KIP655746:KIP655747 KSL655746:KSL655747 LCH655746:LCH655747 LMD655746:LMD655747 LVZ655746:LVZ655747 MFV655746:MFV655747 MPR655746:MPR655747 MZN655746:MZN655747 NJJ655746:NJJ655747 NTF655746:NTF655747 ODB655746:ODB655747 OMX655746:OMX655747 OWT655746:OWT655747 PGP655746:PGP655747 PQL655746:PQL655747 QAH655746:QAH655747 QKD655746:QKD655747 QTZ655746:QTZ655747 RDV655746:RDV655747 RNR655746:RNR655747 RXN655746:RXN655747 SHJ655746:SHJ655747 SRF655746:SRF655747 TBB655746:TBB655747 TKX655746:TKX655747 TUT655746:TUT655747 UEP655746:UEP655747 UOL655746:UOL655747 UYH655746:UYH655747 VID655746:VID655747 VRZ655746:VRZ655747 WBV655746:WBV655747 WLR655746:WLR655747 WVN655746:WVN655747 F721282:F721283 JB721282:JB721283 SX721282:SX721283 ACT721282:ACT721283 AMP721282:AMP721283 AWL721282:AWL721283 BGH721282:BGH721283 BQD721282:BQD721283 BZZ721282:BZZ721283 CJV721282:CJV721283 CTR721282:CTR721283 DDN721282:DDN721283 DNJ721282:DNJ721283 DXF721282:DXF721283 EHB721282:EHB721283 EQX721282:EQX721283 FAT721282:FAT721283 FKP721282:FKP721283 FUL721282:FUL721283 GEH721282:GEH721283 GOD721282:GOD721283 GXZ721282:GXZ721283 HHV721282:HHV721283 HRR721282:HRR721283 IBN721282:IBN721283 ILJ721282:ILJ721283 IVF721282:IVF721283 JFB721282:JFB721283 JOX721282:JOX721283 JYT721282:JYT721283 KIP721282:KIP721283 KSL721282:KSL721283 LCH721282:LCH721283 LMD721282:LMD721283 LVZ721282:LVZ721283 MFV721282:MFV721283 MPR721282:MPR721283 MZN721282:MZN721283 NJJ721282:NJJ721283 NTF721282:NTF721283 ODB721282:ODB721283 OMX721282:OMX721283 OWT721282:OWT721283 PGP721282:PGP721283 PQL721282:PQL721283 QAH721282:QAH721283 QKD721282:QKD721283 QTZ721282:QTZ721283 RDV721282:RDV721283 RNR721282:RNR721283 RXN721282:RXN721283 SHJ721282:SHJ721283 SRF721282:SRF721283 TBB721282:TBB721283 TKX721282:TKX721283 TUT721282:TUT721283 UEP721282:UEP721283 UOL721282:UOL721283 UYH721282:UYH721283 VID721282:VID721283 VRZ721282:VRZ721283 WBV721282:WBV721283 WLR721282:WLR721283 WVN721282:WVN721283 F786818:F786819 JB786818:JB786819 SX786818:SX786819 ACT786818:ACT786819 AMP786818:AMP786819 AWL786818:AWL786819 BGH786818:BGH786819 BQD786818:BQD786819 BZZ786818:BZZ786819 CJV786818:CJV786819 CTR786818:CTR786819 DDN786818:DDN786819 DNJ786818:DNJ786819 DXF786818:DXF786819 EHB786818:EHB786819 EQX786818:EQX786819 FAT786818:FAT786819 FKP786818:FKP786819 FUL786818:FUL786819 GEH786818:GEH786819 GOD786818:GOD786819 GXZ786818:GXZ786819 HHV786818:HHV786819 HRR786818:HRR786819 IBN786818:IBN786819 ILJ786818:ILJ786819 IVF786818:IVF786819 JFB786818:JFB786819 JOX786818:JOX786819 JYT786818:JYT786819 KIP786818:KIP786819 KSL786818:KSL786819 LCH786818:LCH786819 LMD786818:LMD786819 LVZ786818:LVZ786819 MFV786818:MFV786819 MPR786818:MPR786819 MZN786818:MZN786819 NJJ786818:NJJ786819 NTF786818:NTF786819 ODB786818:ODB786819 OMX786818:OMX786819 OWT786818:OWT786819 PGP786818:PGP786819 PQL786818:PQL786819 QAH786818:QAH786819 QKD786818:QKD786819 QTZ786818:QTZ786819 RDV786818:RDV786819 RNR786818:RNR786819 RXN786818:RXN786819 SHJ786818:SHJ786819 SRF786818:SRF786819 TBB786818:TBB786819 TKX786818:TKX786819 TUT786818:TUT786819 UEP786818:UEP786819 UOL786818:UOL786819 UYH786818:UYH786819 VID786818:VID786819 VRZ786818:VRZ786819 WBV786818:WBV786819 WLR786818:WLR786819 WVN786818:WVN786819 F852354:F852355 JB852354:JB852355 SX852354:SX852355 ACT852354:ACT852355 AMP852354:AMP852355 AWL852354:AWL852355 BGH852354:BGH852355 BQD852354:BQD852355 BZZ852354:BZZ852355 CJV852354:CJV852355 CTR852354:CTR852355 DDN852354:DDN852355 DNJ852354:DNJ852355 DXF852354:DXF852355 EHB852354:EHB852355 EQX852354:EQX852355 FAT852354:FAT852355 FKP852354:FKP852355 FUL852354:FUL852355 GEH852354:GEH852355 GOD852354:GOD852355 GXZ852354:GXZ852355 HHV852354:HHV852355 HRR852354:HRR852355 IBN852354:IBN852355 ILJ852354:ILJ852355 IVF852354:IVF852355 JFB852354:JFB852355 JOX852354:JOX852355 JYT852354:JYT852355 KIP852354:KIP852355 KSL852354:KSL852355 LCH852354:LCH852355 LMD852354:LMD852355 LVZ852354:LVZ852355 MFV852354:MFV852355 MPR852354:MPR852355 MZN852354:MZN852355 NJJ852354:NJJ852355 NTF852354:NTF852355 ODB852354:ODB852355 OMX852354:OMX852355 OWT852354:OWT852355 PGP852354:PGP852355 PQL852354:PQL852355 QAH852354:QAH852355 QKD852354:QKD852355 QTZ852354:QTZ852355 RDV852354:RDV852355 RNR852354:RNR852355 RXN852354:RXN852355 SHJ852354:SHJ852355 SRF852354:SRF852355 TBB852354:TBB852355 TKX852354:TKX852355 TUT852354:TUT852355 UEP852354:UEP852355 UOL852354:UOL852355 UYH852354:UYH852355 VID852354:VID852355 VRZ852354:VRZ852355 WBV852354:WBV852355 WLR852354:WLR852355 WVN852354:WVN852355 F917890:F917891 JB917890:JB917891 SX917890:SX917891 ACT917890:ACT917891 AMP917890:AMP917891 AWL917890:AWL917891 BGH917890:BGH917891 BQD917890:BQD917891 BZZ917890:BZZ917891 CJV917890:CJV917891 CTR917890:CTR917891 DDN917890:DDN917891 DNJ917890:DNJ917891 DXF917890:DXF917891 EHB917890:EHB917891 EQX917890:EQX917891 FAT917890:FAT917891 FKP917890:FKP917891 FUL917890:FUL917891 GEH917890:GEH917891 GOD917890:GOD917891 GXZ917890:GXZ917891 HHV917890:HHV917891 HRR917890:HRR917891 IBN917890:IBN917891 ILJ917890:ILJ917891 IVF917890:IVF917891 JFB917890:JFB917891 JOX917890:JOX917891 JYT917890:JYT917891 KIP917890:KIP917891 KSL917890:KSL917891 LCH917890:LCH917891 LMD917890:LMD917891 LVZ917890:LVZ917891 MFV917890:MFV917891 MPR917890:MPR917891 MZN917890:MZN917891 NJJ917890:NJJ917891 NTF917890:NTF917891 ODB917890:ODB917891 OMX917890:OMX917891 OWT917890:OWT917891 PGP917890:PGP917891 PQL917890:PQL917891 QAH917890:QAH917891 QKD917890:QKD917891 QTZ917890:QTZ917891 RDV917890:RDV917891 RNR917890:RNR917891 RXN917890:RXN917891 SHJ917890:SHJ917891 SRF917890:SRF917891 TBB917890:TBB917891 TKX917890:TKX917891 TUT917890:TUT917891 UEP917890:UEP917891 UOL917890:UOL917891 UYH917890:UYH917891 VID917890:VID917891 VRZ917890:VRZ917891 WBV917890:WBV917891 WLR917890:WLR917891 WVN917890:WVN917891 F983426:F983427 JB983426:JB983427 SX983426:SX983427 ACT983426:ACT983427 AMP983426:AMP983427 AWL983426:AWL983427 BGH983426:BGH983427 BQD983426:BQD983427 BZZ983426:BZZ983427 CJV983426:CJV983427 CTR983426:CTR983427 DDN983426:DDN983427 DNJ983426:DNJ983427 DXF983426:DXF983427 EHB983426:EHB983427 EQX983426:EQX983427 FAT983426:FAT983427 FKP983426:FKP983427 FUL983426:FUL983427 GEH983426:GEH983427 GOD983426:GOD983427 GXZ983426:GXZ983427 HHV983426:HHV983427 HRR983426:HRR983427 IBN983426:IBN983427 ILJ983426:ILJ983427 IVF983426:IVF983427 JFB983426:JFB983427 JOX983426:JOX983427 JYT983426:JYT983427 KIP983426:KIP983427 KSL983426:KSL983427 LCH983426:LCH983427 LMD983426:LMD983427 LVZ983426:LVZ983427 MFV983426:MFV983427 MPR983426:MPR983427 MZN983426:MZN983427 NJJ983426:NJJ983427 NTF983426:NTF983427 ODB983426:ODB983427 OMX983426:OMX983427 OWT983426:OWT983427 PGP983426:PGP983427 PQL983426:PQL983427 QAH983426:QAH983427 QKD983426:QKD983427 QTZ983426:QTZ983427 RDV983426:RDV983427 RNR983426:RNR983427 RXN983426:RXN983427 SHJ983426:SHJ983427 SRF983426:SRF983427 TBB983426:TBB983427 TKX983426:TKX983427 TUT983426:TUT983427 UEP983426:UEP983427 UOL983426:UOL983427 UYH983426:UYH983427 VID983426:VID983427 VRZ983426:VRZ983427 WBV983426:WBV983427 WLR983426:WLR983427 WVN983426:WVN983427" xr:uid="{00000000-0002-0000-0300-00000B000000}">
      <formula1>$AA$196:$AA$207</formula1>
    </dataValidation>
    <dataValidation type="list" allowBlank="1" showInputMessage="1" showErrorMessage="1" sqref="F589:F594 JB589:JB594 SX589:SX594 ACT589:ACT594 AMP589:AMP594 AWL589:AWL594 BGH589:BGH594 BQD589:BQD594 BZZ589:BZZ594 CJV589:CJV594 CTR589:CTR594 DDN589:DDN594 DNJ589:DNJ594 DXF589:DXF594 EHB589:EHB594 EQX589:EQX594 FAT589:FAT594 FKP589:FKP594 FUL589:FUL594 GEH589:GEH594 GOD589:GOD594 GXZ589:GXZ594 HHV589:HHV594 HRR589:HRR594 IBN589:IBN594 ILJ589:ILJ594 IVF589:IVF594 JFB589:JFB594 JOX589:JOX594 JYT589:JYT594 KIP589:KIP594 KSL589:KSL594 LCH589:LCH594 LMD589:LMD594 LVZ589:LVZ594 MFV589:MFV594 MPR589:MPR594 MZN589:MZN594 NJJ589:NJJ594 NTF589:NTF594 ODB589:ODB594 OMX589:OMX594 OWT589:OWT594 PGP589:PGP594 PQL589:PQL594 QAH589:QAH594 QKD589:QKD594 QTZ589:QTZ594 RDV589:RDV594 RNR589:RNR594 RXN589:RXN594 SHJ589:SHJ594 SRF589:SRF594 TBB589:TBB594 TKX589:TKX594 TUT589:TUT594 UEP589:UEP594 UOL589:UOL594 UYH589:UYH594 VID589:VID594 VRZ589:VRZ594 WBV589:WBV594 WLR589:WLR594 WVN589:WVN594 F66130:F66135 JB66130:JB66135 SX66130:SX66135 ACT66130:ACT66135 AMP66130:AMP66135 AWL66130:AWL66135 BGH66130:BGH66135 BQD66130:BQD66135 BZZ66130:BZZ66135 CJV66130:CJV66135 CTR66130:CTR66135 DDN66130:DDN66135 DNJ66130:DNJ66135 DXF66130:DXF66135 EHB66130:EHB66135 EQX66130:EQX66135 FAT66130:FAT66135 FKP66130:FKP66135 FUL66130:FUL66135 GEH66130:GEH66135 GOD66130:GOD66135 GXZ66130:GXZ66135 HHV66130:HHV66135 HRR66130:HRR66135 IBN66130:IBN66135 ILJ66130:ILJ66135 IVF66130:IVF66135 JFB66130:JFB66135 JOX66130:JOX66135 JYT66130:JYT66135 KIP66130:KIP66135 KSL66130:KSL66135 LCH66130:LCH66135 LMD66130:LMD66135 LVZ66130:LVZ66135 MFV66130:MFV66135 MPR66130:MPR66135 MZN66130:MZN66135 NJJ66130:NJJ66135 NTF66130:NTF66135 ODB66130:ODB66135 OMX66130:OMX66135 OWT66130:OWT66135 PGP66130:PGP66135 PQL66130:PQL66135 QAH66130:QAH66135 QKD66130:QKD66135 QTZ66130:QTZ66135 RDV66130:RDV66135 RNR66130:RNR66135 RXN66130:RXN66135 SHJ66130:SHJ66135 SRF66130:SRF66135 TBB66130:TBB66135 TKX66130:TKX66135 TUT66130:TUT66135 UEP66130:UEP66135 UOL66130:UOL66135 UYH66130:UYH66135 VID66130:VID66135 VRZ66130:VRZ66135 WBV66130:WBV66135 WLR66130:WLR66135 WVN66130:WVN66135 F131666:F131671 JB131666:JB131671 SX131666:SX131671 ACT131666:ACT131671 AMP131666:AMP131671 AWL131666:AWL131671 BGH131666:BGH131671 BQD131666:BQD131671 BZZ131666:BZZ131671 CJV131666:CJV131671 CTR131666:CTR131671 DDN131666:DDN131671 DNJ131666:DNJ131671 DXF131666:DXF131671 EHB131666:EHB131671 EQX131666:EQX131671 FAT131666:FAT131671 FKP131666:FKP131671 FUL131666:FUL131671 GEH131666:GEH131671 GOD131666:GOD131671 GXZ131666:GXZ131671 HHV131666:HHV131671 HRR131666:HRR131671 IBN131666:IBN131671 ILJ131666:ILJ131671 IVF131666:IVF131671 JFB131666:JFB131671 JOX131666:JOX131671 JYT131666:JYT131671 KIP131666:KIP131671 KSL131666:KSL131671 LCH131666:LCH131671 LMD131666:LMD131671 LVZ131666:LVZ131671 MFV131666:MFV131671 MPR131666:MPR131671 MZN131666:MZN131671 NJJ131666:NJJ131671 NTF131666:NTF131671 ODB131666:ODB131671 OMX131666:OMX131671 OWT131666:OWT131671 PGP131666:PGP131671 PQL131666:PQL131671 QAH131666:QAH131671 QKD131666:QKD131671 QTZ131666:QTZ131671 RDV131666:RDV131671 RNR131666:RNR131671 RXN131666:RXN131671 SHJ131666:SHJ131671 SRF131666:SRF131671 TBB131666:TBB131671 TKX131666:TKX131671 TUT131666:TUT131671 UEP131666:UEP131671 UOL131666:UOL131671 UYH131666:UYH131671 VID131666:VID131671 VRZ131666:VRZ131671 WBV131666:WBV131671 WLR131666:WLR131671 WVN131666:WVN131671 F197202:F197207 JB197202:JB197207 SX197202:SX197207 ACT197202:ACT197207 AMP197202:AMP197207 AWL197202:AWL197207 BGH197202:BGH197207 BQD197202:BQD197207 BZZ197202:BZZ197207 CJV197202:CJV197207 CTR197202:CTR197207 DDN197202:DDN197207 DNJ197202:DNJ197207 DXF197202:DXF197207 EHB197202:EHB197207 EQX197202:EQX197207 FAT197202:FAT197207 FKP197202:FKP197207 FUL197202:FUL197207 GEH197202:GEH197207 GOD197202:GOD197207 GXZ197202:GXZ197207 HHV197202:HHV197207 HRR197202:HRR197207 IBN197202:IBN197207 ILJ197202:ILJ197207 IVF197202:IVF197207 JFB197202:JFB197207 JOX197202:JOX197207 JYT197202:JYT197207 KIP197202:KIP197207 KSL197202:KSL197207 LCH197202:LCH197207 LMD197202:LMD197207 LVZ197202:LVZ197207 MFV197202:MFV197207 MPR197202:MPR197207 MZN197202:MZN197207 NJJ197202:NJJ197207 NTF197202:NTF197207 ODB197202:ODB197207 OMX197202:OMX197207 OWT197202:OWT197207 PGP197202:PGP197207 PQL197202:PQL197207 QAH197202:QAH197207 QKD197202:QKD197207 QTZ197202:QTZ197207 RDV197202:RDV197207 RNR197202:RNR197207 RXN197202:RXN197207 SHJ197202:SHJ197207 SRF197202:SRF197207 TBB197202:TBB197207 TKX197202:TKX197207 TUT197202:TUT197207 UEP197202:UEP197207 UOL197202:UOL197207 UYH197202:UYH197207 VID197202:VID197207 VRZ197202:VRZ197207 WBV197202:WBV197207 WLR197202:WLR197207 WVN197202:WVN197207 F262738:F262743 JB262738:JB262743 SX262738:SX262743 ACT262738:ACT262743 AMP262738:AMP262743 AWL262738:AWL262743 BGH262738:BGH262743 BQD262738:BQD262743 BZZ262738:BZZ262743 CJV262738:CJV262743 CTR262738:CTR262743 DDN262738:DDN262743 DNJ262738:DNJ262743 DXF262738:DXF262743 EHB262738:EHB262743 EQX262738:EQX262743 FAT262738:FAT262743 FKP262738:FKP262743 FUL262738:FUL262743 GEH262738:GEH262743 GOD262738:GOD262743 GXZ262738:GXZ262743 HHV262738:HHV262743 HRR262738:HRR262743 IBN262738:IBN262743 ILJ262738:ILJ262743 IVF262738:IVF262743 JFB262738:JFB262743 JOX262738:JOX262743 JYT262738:JYT262743 KIP262738:KIP262743 KSL262738:KSL262743 LCH262738:LCH262743 LMD262738:LMD262743 LVZ262738:LVZ262743 MFV262738:MFV262743 MPR262738:MPR262743 MZN262738:MZN262743 NJJ262738:NJJ262743 NTF262738:NTF262743 ODB262738:ODB262743 OMX262738:OMX262743 OWT262738:OWT262743 PGP262738:PGP262743 PQL262738:PQL262743 QAH262738:QAH262743 QKD262738:QKD262743 QTZ262738:QTZ262743 RDV262738:RDV262743 RNR262738:RNR262743 RXN262738:RXN262743 SHJ262738:SHJ262743 SRF262738:SRF262743 TBB262738:TBB262743 TKX262738:TKX262743 TUT262738:TUT262743 UEP262738:UEP262743 UOL262738:UOL262743 UYH262738:UYH262743 VID262738:VID262743 VRZ262738:VRZ262743 WBV262738:WBV262743 WLR262738:WLR262743 WVN262738:WVN262743 F328274:F328279 JB328274:JB328279 SX328274:SX328279 ACT328274:ACT328279 AMP328274:AMP328279 AWL328274:AWL328279 BGH328274:BGH328279 BQD328274:BQD328279 BZZ328274:BZZ328279 CJV328274:CJV328279 CTR328274:CTR328279 DDN328274:DDN328279 DNJ328274:DNJ328279 DXF328274:DXF328279 EHB328274:EHB328279 EQX328274:EQX328279 FAT328274:FAT328279 FKP328274:FKP328279 FUL328274:FUL328279 GEH328274:GEH328279 GOD328274:GOD328279 GXZ328274:GXZ328279 HHV328274:HHV328279 HRR328274:HRR328279 IBN328274:IBN328279 ILJ328274:ILJ328279 IVF328274:IVF328279 JFB328274:JFB328279 JOX328274:JOX328279 JYT328274:JYT328279 KIP328274:KIP328279 KSL328274:KSL328279 LCH328274:LCH328279 LMD328274:LMD328279 LVZ328274:LVZ328279 MFV328274:MFV328279 MPR328274:MPR328279 MZN328274:MZN328279 NJJ328274:NJJ328279 NTF328274:NTF328279 ODB328274:ODB328279 OMX328274:OMX328279 OWT328274:OWT328279 PGP328274:PGP328279 PQL328274:PQL328279 QAH328274:QAH328279 QKD328274:QKD328279 QTZ328274:QTZ328279 RDV328274:RDV328279 RNR328274:RNR328279 RXN328274:RXN328279 SHJ328274:SHJ328279 SRF328274:SRF328279 TBB328274:TBB328279 TKX328274:TKX328279 TUT328274:TUT328279 UEP328274:UEP328279 UOL328274:UOL328279 UYH328274:UYH328279 VID328274:VID328279 VRZ328274:VRZ328279 WBV328274:WBV328279 WLR328274:WLR328279 WVN328274:WVN328279 F393810:F393815 JB393810:JB393815 SX393810:SX393815 ACT393810:ACT393815 AMP393810:AMP393815 AWL393810:AWL393815 BGH393810:BGH393815 BQD393810:BQD393815 BZZ393810:BZZ393815 CJV393810:CJV393815 CTR393810:CTR393815 DDN393810:DDN393815 DNJ393810:DNJ393815 DXF393810:DXF393815 EHB393810:EHB393815 EQX393810:EQX393815 FAT393810:FAT393815 FKP393810:FKP393815 FUL393810:FUL393815 GEH393810:GEH393815 GOD393810:GOD393815 GXZ393810:GXZ393815 HHV393810:HHV393815 HRR393810:HRR393815 IBN393810:IBN393815 ILJ393810:ILJ393815 IVF393810:IVF393815 JFB393810:JFB393815 JOX393810:JOX393815 JYT393810:JYT393815 KIP393810:KIP393815 KSL393810:KSL393815 LCH393810:LCH393815 LMD393810:LMD393815 LVZ393810:LVZ393815 MFV393810:MFV393815 MPR393810:MPR393815 MZN393810:MZN393815 NJJ393810:NJJ393815 NTF393810:NTF393815 ODB393810:ODB393815 OMX393810:OMX393815 OWT393810:OWT393815 PGP393810:PGP393815 PQL393810:PQL393815 QAH393810:QAH393815 QKD393810:QKD393815 QTZ393810:QTZ393815 RDV393810:RDV393815 RNR393810:RNR393815 RXN393810:RXN393815 SHJ393810:SHJ393815 SRF393810:SRF393815 TBB393810:TBB393815 TKX393810:TKX393815 TUT393810:TUT393815 UEP393810:UEP393815 UOL393810:UOL393815 UYH393810:UYH393815 VID393810:VID393815 VRZ393810:VRZ393815 WBV393810:WBV393815 WLR393810:WLR393815 WVN393810:WVN393815 F459346:F459351 JB459346:JB459351 SX459346:SX459351 ACT459346:ACT459351 AMP459346:AMP459351 AWL459346:AWL459351 BGH459346:BGH459351 BQD459346:BQD459351 BZZ459346:BZZ459351 CJV459346:CJV459351 CTR459346:CTR459351 DDN459346:DDN459351 DNJ459346:DNJ459351 DXF459346:DXF459351 EHB459346:EHB459351 EQX459346:EQX459351 FAT459346:FAT459351 FKP459346:FKP459351 FUL459346:FUL459351 GEH459346:GEH459351 GOD459346:GOD459351 GXZ459346:GXZ459351 HHV459346:HHV459351 HRR459346:HRR459351 IBN459346:IBN459351 ILJ459346:ILJ459351 IVF459346:IVF459351 JFB459346:JFB459351 JOX459346:JOX459351 JYT459346:JYT459351 KIP459346:KIP459351 KSL459346:KSL459351 LCH459346:LCH459351 LMD459346:LMD459351 LVZ459346:LVZ459351 MFV459346:MFV459351 MPR459346:MPR459351 MZN459346:MZN459351 NJJ459346:NJJ459351 NTF459346:NTF459351 ODB459346:ODB459351 OMX459346:OMX459351 OWT459346:OWT459351 PGP459346:PGP459351 PQL459346:PQL459351 QAH459346:QAH459351 QKD459346:QKD459351 QTZ459346:QTZ459351 RDV459346:RDV459351 RNR459346:RNR459351 RXN459346:RXN459351 SHJ459346:SHJ459351 SRF459346:SRF459351 TBB459346:TBB459351 TKX459346:TKX459351 TUT459346:TUT459351 UEP459346:UEP459351 UOL459346:UOL459351 UYH459346:UYH459351 VID459346:VID459351 VRZ459346:VRZ459351 WBV459346:WBV459351 WLR459346:WLR459351 WVN459346:WVN459351 F524882:F524887 JB524882:JB524887 SX524882:SX524887 ACT524882:ACT524887 AMP524882:AMP524887 AWL524882:AWL524887 BGH524882:BGH524887 BQD524882:BQD524887 BZZ524882:BZZ524887 CJV524882:CJV524887 CTR524882:CTR524887 DDN524882:DDN524887 DNJ524882:DNJ524887 DXF524882:DXF524887 EHB524882:EHB524887 EQX524882:EQX524887 FAT524882:FAT524887 FKP524882:FKP524887 FUL524882:FUL524887 GEH524882:GEH524887 GOD524882:GOD524887 GXZ524882:GXZ524887 HHV524882:HHV524887 HRR524882:HRR524887 IBN524882:IBN524887 ILJ524882:ILJ524887 IVF524882:IVF524887 JFB524882:JFB524887 JOX524882:JOX524887 JYT524882:JYT524887 KIP524882:KIP524887 KSL524882:KSL524887 LCH524882:LCH524887 LMD524882:LMD524887 LVZ524882:LVZ524887 MFV524882:MFV524887 MPR524882:MPR524887 MZN524882:MZN524887 NJJ524882:NJJ524887 NTF524882:NTF524887 ODB524882:ODB524887 OMX524882:OMX524887 OWT524882:OWT524887 PGP524882:PGP524887 PQL524882:PQL524887 QAH524882:QAH524887 QKD524882:QKD524887 QTZ524882:QTZ524887 RDV524882:RDV524887 RNR524882:RNR524887 RXN524882:RXN524887 SHJ524882:SHJ524887 SRF524882:SRF524887 TBB524882:TBB524887 TKX524882:TKX524887 TUT524882:TUT524887 UEP524882:UEP524887 UOL524882:UOL524887 UYH524882:UYH524887 VID524882:VID524887 VRZ524882:VRZ524887 WBV524882:WBV524887 WLR524882:WLR524887 WVN524882:WVN524887 F590418:F590423 JB590418:JB590423 SX590418:SX590423 ACT590418:ACT590423 AMP590418:AMP590423 AWL590418:AWL590423 BGH590418:BGH590423 BQD590418:BQD590423 BZZ590418:BZZ590423 CJV590418:CJV590423 CTR590418:CTR590423 DDN590418:DDN590423 DNJ590418:DNJ590423 DXF590418:DXF590423 EHB590418:EHB590423 EQX590418:EQX590423 FAT590418:FAT590423 FKP590418:FKP590423 FUL590418:FUL590423 GEH590418:GEH590423 GOD590418:GOD590423 GXZ590418:GXZ590423 HHV590418:HHV590423 HRR590418:HRR590423 IBN590418:IBN590423 ILJ590418:ILJ590423 IVF590418:IVF590423 JFB590418:JFB590423 JOX590418:JOX590423 JYT590418:JYT590423 KIP590418:KIP590423 KSL590418:KSL590423 LCH590418:LCH590423 LMD590418:LMD590423 LVZ590418:LVZ590423 MFV590418:MFV590423 MPR590418:MPR590423 MZN590418:MZN590423 NJJ590418:NJJ590423 NTF590418:NTF590423 ODB590418:ODB590423 OMX590418:OMX590423 OWT590418:OWT590423 PGP590418:PGP590423 PQL590418:PQL590423 QAH590418:QAH590423 QKD590418:QKD590423 QTZ590418:QTZ590423 RDV590418:RDV590423 RNR590418:RNR590423 RXN590418:RXN590423 SHJ590418:SHJ590423 SRF590418:SRF590423 TBB590418:TBB590423 TKX590418:TKX590423 TUT590418:TUT590423 UEP590418:UEP590423 UOL590418:UOL590423 UYH590418:UYH590423 VID590418:VID590423 VRZ590418:VRZ590423 WBV590418:WBV590423 WLR590418:WLR590423 WVN590418:WVN590423 F655954:F655959 JB655954:JB655959 SX655954:SX655959 ACT655954:ACT655959 AMP655954:AMP655959 AWL655954:AWL655959 BGH655954:BGH655959 BQD655954:BQD655959 BZZ655954:BZZ655959 CJV655954:CJV655959 CTR655954:CTR655959 DDN655954:DDN655959 DNJ655954:DNJ655959 DXF655954:DXF655959 EHB655954:EHB655959 EQX655954:EQX655959 FAT655954:FAT655959 FKP655954:FKP655959 FUL655954:FUL655959 GEH655954:GEH655959 GOD655954:GOD655959 GXZ655954:GXZ655959 HHV655954:HHV655959 HRR655954:HRR655959 IBN655954:IBN655959 ILJ655954:ILJ655959 IVF655954:IVF655959 JFB655954:JFB655959 JOX655954:JOX655959 JYT655954:JYT655959 KIP655954:KIP655959 KSL655954:KSL655959 LCH655954:LCH655959 LMD655954:LMD655959 LVZ655954:LVZ655959 MFV655954:MFV655959 MPR655954:MPR655959 MZN655954:MZN655959 NJJ655954:NJJ655959 NTF655954:NTF655959 ODB655954:ODB655959 OMX655954:OMX655959 OWT655954:OWT655959 PGP655954:PGP655959 PQL655954:PQL655959 QAH655954:QAH655959 QKD655954:QKD655959 QTZ655954:QTZ655959 RDV655954:RDV655959 RNR655954:RNR655959 RXN655954:RXN655959 SHJ655954:SHJ655959 SRF655954:SRF655959 TBB655954:TBB655959 TKX655954:TKX655959 TUT655954:TUT655959 UEP655954:UEP655959 UOL655954:UOL655959 UYH655954:UYH655959 VID655954:VID655959 VRZ655954:VRZ655959 WBV655954:WBV655959 WLR655954:WLR655959 WVN655954:WVN655959 F721490:F721495 JB721490:JB721495 SX721490:SX721495 ACT721490:ACT721495 AMP721490:AMP721495 AWL721490:AWL721495 BGH721490:BGH721495 BQD721490:BQD721495 BZZ721490:BZZ721495 CJV721490:CJV721495 CTR721490:CTR721495 DDN721490:DDN721495 DNJ721490:DNJ721495 DXF721490:DXF721495 EHB721490:EHB721495 EQX721490:EQX721495 FAT721490:FAT721495 FKP721490:FKP721495 FUL721490:FUL721495 GEH721490:GEH721495 GOD721490:GOD721495 GXZ721490:GXZ721495 HHV721490:HHV721495 HRR721490:HRR721495 IBN721490:IBN721495 ILJ721490:ILJ721495 IVF721490:IVF721495 JFB721490:JFB721495 JOX721490:JOX721495 JYT721490:JYT721495 KIP721490:KIP721495 KSL721490:KSL721495 LCH721490:LCH721495 LMD721490:LMD721495 LVZ721490:LVZ721495 MFV721490:MFV721495 MPR721490:MPR721495 MZN721490:MZN721495 NJJ721490:NJJ721495 NTF721490:NTF721495 ODB721490:ODB721495 OMX721490:OMX721495 OWT721490:OWT721495 PGP721490:PGP721495 PQL721490:PQL721495 QAH721490:QAH721495 QKD721490:QKD721495 QTZ721490:QTZ721495 RDV721490:RDV721495 RNR721490:RNR721495 RXN721490:RXN721495 SHJ721490:SHJ721495 SRF721490:SRF721495 TBB721490:TBB721495 TKX721490:TKX721495 TUT721490:TUT721495 UEP721490:UEP721495 UOL721490:UOL721495 UYH721490:UYH721495 VID721490:VID721495 VRZ721490:VRZ721495 WBV721490:WBV721495 WLR721490:WLR721495 WVN721490:WVN721495 F787026:F787031 JB787026:JB787031 SX787026:SX787031 ACT787026:ACT787031 AMP787026:AMP787031 AWL787026:AWL787031 BGH787026:BGH787031 BQD787026:BQD787031 BZZ787026:BZZ787031 CJV787026:CJV787031 CTR787026:CTR787031 DDN787026:DDN787031 DNJ787026:DNJ787031 DXF787026:DXF787031 EHB787026:EHB787031 EQX787026:EQX787031 FAT787026:FAT787031 FKP787026:FKP787031 FUL787026:FUL787031 GEH787026:GEH787031 GOD787026:GOD787031 GXZ787026:GXZ787031 HHV787026:HHV787031 HRR787026:HRR787031 IBN787026:IBN787031 ILJ787026:ILJ787031 IVF787026:IVF787031 JFB787026:JFB787031 JOX787026:JOX787031 JYT787026:JYT787031 KIP787026:KIP787031 KSL787026:KSL787031 LCH787026:LCH787031 LMD787026:LMD787031 LVZ787026:LVZ787031 MFV787026:MFV787031 MPR787026:MPR787031 MZN787026:MZN787031 NJJ787026:NJJ787031 NTF787026:NTF787031 ODB787026:ODB787031 OMX787026:OMX787031 OWT787026:OWT787031 PGP787026:PGP787031 PQL787026:PQL787031 QAH787026:QAH787031 QKD787026:QKD787031 QTZ787026:QTZ787031 RDV787026:RDV787031 RNR787026:RNR787031 RXN787026:RXN787031 SHJ787026:SHJ787031 SRF787026:SRF787031 TBB787026:TBB787031 TKX787026:TKX787031 TUT787026:TUT787031 UEP787026:UEP787031 UOL787026:UOL787031 UYH787026:UYH787031 VID787026:VID787031 VRZ787026:VRZ787031 WBV787026:WBV787031 WLR787026:WLR787031 WVN787026:WVN787031 F852562:F852567 JB852562:JB852567 SX852562:SX852567 ACT852562:ACT852567 AMP852562:AMP852567 AWL852562:AWL852567 BGH852562:BGH852567 BQD852562:BQD852567 BZZ852562:BZZ852567 CJV852562:CJV852567 CTR852562:CTR852567 DDN852562:DDN852567 DNJ852562:DNJ852567 DXF852562:DXF852567 EHB852562:EHB852567 EQX852562:EQX852567 FAT852562:FAT852567 FKP852562:FKP852567 FUL852562:FUL852567 GEH852562:GEH852567 GOD852562:GOD852567 GXZ852562:GXZ852567 HHV852562:HHV852567 HRR852562:HRR852567 IBN852562:IBN852567 ILJ852562:ILJ852567 IVF852562:IVF852567 JFB852562:JFB852567 JOX852562:JOX852567 JYT852562:JYT852567 KIP852562:KIP852567 KSL852562:KSL852567 LCH852562:LCH852567 LMD852562:LMD852567 LVZ852562:LVZ852567 MFV852562:MFV852567 MPR852562:MPR852567 MZN852562:MZN852567 NJJ852562:NJJ852567 NTF852562:NTF852567 ODB852562:ODB852567 OMX852562:OMX852567 OWT852562:OWT852567 PGP852562:PGP852567 PQL852562:PQL852567 QAH852562:QAH852567 QKD852562:QKD852567 QTZ852562:QTZ852567 RDV852562:RDV852567 RNR852562:RNR852567 RXN852562:RXN852567 SHJ852562:SHJ852567 SRF852562:SRF852567 TBB852562:TBB852567 TKX852562:TKX852567 TUT852562:TUT852567 UEP852562:UEP852567 UOL852562:UOL852567 UYH852562:UYH852567 VID852562:VID852567 VRZ852562:VRZ852567 WBV852562:WBV852567 WLR852562:WLR852567 WVN852562:WVN852567 F918098:F918103 JB918098:JB918103 SX918098:SX918103 ACT918098:ACT918103 AMP918098:AMP918103 AWL918098:AWL918103 BGH918098:BGH918103 BQD918098:BQD918103 BZZ918098:BZZ918103 CJV918098:CJV918103 CTR918098:CTR918103 DDN918098:DDN918103 DNJ918098:DNJ918103 DXF918098:DXF918103 EHB918098:EHB918103 EQX918098:EQX918103 FAT918098:FAT918103 FKP918098:FKP918103 FUL918098:FUL918103 GEH918098:GEH918103 GOD918098:GOD918103 GXZ918098:GXZ918103 HHV918098:HHV918103 HRR918098:HRR918103 IBN918098:IBN918103 ILJ918098:ILJ918103 IVF918098:IVF918103 JFB918098:JFB918103 JOX918098:JOX918103 JYT918098:JYT918103 KIP918098:KIP918103 KSL918098:KSL918103 LCH918098:LCH918103 LMD918098:LMD918103 LVZ918098:LVZ918103 MFV918098:MFV918103 MPR918098:MPR918103 MZN918098:MZN918103 NJJ918098:NJJ918103 NTF918098:NTF918103 ODB918098:ODB918103 OMX918098:OMX918103 OWT918098:OWT918103 PGP918098:PGP918103 PQL918098:PQL918103 QAH918098:QAH918103 QKD918098:QKD918103 QTZ918098:QTZ918103 RDV918098:RDV918103 RNR918098:RNR918103 RXN918098:RXN918103 SHJ918098:SHJ918103 SRF918098:SRF918103 TBB918098:TBB918103 TKX918098:TKX918103 TUT918098:TUT918103 UEP918098:UEP918103 UOL918098:UOL918103 UYH918098:UYH918103 VID918098:VID918103 VRZ918098:VRZ918103 WBV918098:WBV918103 WLR918098:WLR918103 WVN918098:WVN918103 F983634:F983639 JB983634:JB983639 SX983634:SX983639 ACT983634:ACT983639 AMP983634:AMP983639 AWL983634:AWL983639 BGH983634:BGH983639 BQD983634:BQD983639 BZZ983634:BZZ983639 CJV983634:CJV983639 CTR983634:CTR983639 DDN983634:DDN983639 DNJ983634:DNJ983639 DXF983634:DXF983639 EHB983634:EHB983639 EQX983634:EQX983639 FAT983634:FAT983639 FKP983634:FKP983639 FUL983634:FUL983639 GEH983634:GEH983639 GOD983634:GOD983639 GXZ983634:GXZ983639 HHV983634:HHV983639 HRR983634:HRR983639 IBN983634:IBN983639 ILJ983634:ILJ983639 IVF983634:IVF983639 JFB983634:JFB983639 JOX983634:JOX983639 JYT983634:JYT983639 KIP983634:KIP983639 KSL983634:KSL983639 LCH983634:LCH983639 LMD983634:LMD983639 LVZ983634:LVZ983639 MFV983634:MFV983639 MPR983634:MPR983639 MZN983634:MZN983639 NJJ983634:NJJ983639 NTF983634:NTF983639 ODB983634:ODB983639 OMX983634:OMX983639 OWT983634:OWT983639 PGP983634:PGP983639 PQL983634:PQL983639 QAH983634:QAH983639 QKD983634:QKD983639 QTZ983634:QTZ983639 RDV983634:RDV983639 RNR983634:RNR983639 RXN983634:RXN983639 SHJ983634:SHJ983639 SRF983634:SRF983639 TBB983634:TBB983639 TKX983634:TKX983639 TUT983634:TUT983639 UEP983634:UEP983639 UOL983634:UOL983639 UYH983634:UYH983639 VID983634:VID983639 VRZ983634:VRZ983639 WBV983634:WBV983639 WLR983634:WLR983639 WVN983634:WVN983639 F363:F364 JB363:JB364 SX363:SX364 ACT363:ACT364 AMP363:AMP364 AWL363:AWL364 BGH363:BGH364 BQD363:BQD364 BZZ363:BZZ364 CJV363:CJV364 CTR363:CTR364 DDN363:DDN364 DNJ363:DNJ364 DXF363:DXF364 EHB363:EHB364 EQX363:EQX364 FAT363:FAT364 FKP363:FKP364 FUL363:FUL364 GEH363:GEH364 GOD363:GOD364 GXZ363:GXZ364 HHV363:HHV364 HRR363:HRR364 IBN363:IBN364 ILJ363:ILJ364 IVF363:IVF364 JFB363:JFB364 JOX363:JOX364 JYT363:JYT364 KIP363:KIP364 KSL363:KSL364 LCH363:LCH364 LMD363:LMD364 LVZ363:LVZ364 MFV363:MFV364 MPR363:MPR364 MZN363:MZN364 NJJ363:NJJ364 NTF363:NTF364 ODB363:ODB364 OMX363:OMX364 OWT363:OWT364 PGP363:PGP364 PQL363:PQL364 QAH363:QAH364 QKD363:QKD364 QTZ363:QTZ364 RDV363:RDV364 RNR363:RNR364 RXN363:RXN364 SHJ363:SHJ364 SRF363:SRF364 TBB363:TBB364 TKX363:TKX364 TUT363:TUT364 UEP363:UEP364 UOL363:UOL364 UYH363:UYH364 VID363:VID364 VRZ363:VRZ364 WBV363:WBV364 WLR363:WLR364 WVN363:WVN364 F65904:F65905 JB65904:JB65905 SX65904:SX65905 ACT65904:ACT65905 AMP65904:AMP65905 AWL65904:AWL65905 BGH65904:BGH65905 BQD65904:BQD65905 BZZ65904:BZZ65905 CJV65904:CJV65905 CTR65904:CTR65905 DDN65904:DDN65905 DNJ65904:DNJ65905 DXF65904:DXF65905 EHB65904:EHB65905 EQX65904:EQX65905 FAT65904:FAT65905 FKP65904:FKP65905 FUL65904:FUL65905 GEH65904:GEH65905 GOD65904:GOD65905 GXZ65904:GXZ65905 HHV65904:HHV65905 HRR65904:HRR65905 IBN65904:IBN65905 ILJ65904:ILJ65905 IVF65904:IVF65905 JFB65904:JFB65905 JOX65904:JOX65905 JYT65904:JYT65905 KIP65904:KIP65905 KSL65904:KSL65905 LCH65904:LCH65905 LMD65904:LMD65905 LVZ65904:LVZ65905 MFV65904:MFV65905 MPR65904:MPR65905 MZN65904:MZN65905 NJJ65904:NJJ65905 NTF65904:NTF65905 ODB65904:ODB65905 OMX65904:OMX65905 OWT65904:OWT65905 PGP65904:PGP65905 PQL65904:PQL65905 QAH65904:QAH65905 QKD65904:QKD65905 QTZ65904:QTZ65905 RDV65904:RDV65905 RNR65904:RNR65905 RXN65904:RXN65905 SHJ65904:SHJ65905 SRF65904:SRF65905 TBB65904:TBB65905 TKX65904:TKX65905 TUT65904:TUT65905 UEP65904:UEP65905 UOL65904:UOL65905 UYH65904:UYH65905 VID65904:VID65905 VRZ65904:VRZ65905 WBV65904:WBV65905 WLR65904:WLR65905 WVN65904:WVN65905 F131440:F131441 JB131440:JB131441 SX131440:SX131441 ACT131440:ACT131441 AMP131440:AMP131441 AWL131440:AWL131441 BGH131440:BGH131441 BQD131440:BQD131441 BZZ131440:BZZ131441 CJV131440:CJV131441 CTR131440:CTR131441 DDN131440:DDN131441 DNJ131440:DNJ131441 DXF131440:DXF131441 EHB131440:EHB131441 EQX131440:EQX131441 FAT131440:FAT131441 FKP131440:FKP131441 FUL131440:FUL131441 GEH131440:GEH131441 GOD131440:GOD131441 GXZ131440:GXZ131441 HHV131440:HHV131441 HRR131440:HRR131441 IBN131440:IBN131441 ILJ131440:ILJ131441 IVF131440:IVF131441 JFB131440:JFB131441 JOX131440:JOX131441 JYT131440:JYT131441 KIP131440:KIP131441 KSL131440:KSL131441 LCH131440:LCH131441 LMD131440:LMD131441 LVZ131440:LVZ131441 MFV131440:MFV131441 MPR131440:MPR131441 MZN131440:MZN131441 NJJ131440:NJJ131441 NTF131440:NTF131441 ODB131440:ODB131441 OMX131440:OMX131441 OWT131440:OWT131441 PGP131440:PGP131441 PQL131440:PQL131441 QAH131440:QAH131441 QKD131440:QKD131441 QTZ131440:QTZ131441 RDV131440:RDV131441 RNR131440:RNR131441 RXN131440:RXN131441 SHJ131440:SHJ131441 SRF131440:SRF131441 TBB131440:TBB131441 TKX131440:TKX131441 TUT131440:TUT131441 UEP131440:UEP131441 UOL131440:UOL131441 UYH131440:UYH131441 VID131440:VID131441 VRZ131440:VRZ131441 WBV131440:WBV131441 WLR131440:WLR131441 WVN131440:WVN131441 F196976:F196977 JB196976:JB196977 SX196976:SX196977 ACT196976:ACT196977 AMP196976:AMP196977 AWL196976:AWL196977 BGH196976:BGH196977 BQD196976:BQD196977 BZZ196976:BZZ196977 CJV196976:CJV196977 CTR196976:CTR196977 DDN196976:DDN196977 DNJ196976:DNJ196977 DXF196976:DXF196977 EHB196976:EHB196977 EQX196976:EQX196977 FAT196976:FAT196977 FKP196976:FKP196977 FUL196976:FUL196977 GEH196976:GEH196977 GOD196976:GOD196977 GXZ196976:GXZ196977 HHV196976:HHV196977 HRR196976:HRR196977 IBN196976:IBN196977 ILJ196976:ILJ196977 IVF196976:IVF196977 JFB196976:JFB196977 JOX196976:JOX196977 JYT196976:JYT196977 KIP196976:KIP196977 KSL196976:KSL196977 LCH196976:LCH196977 LMD196976:LMD196977 LVZ196976:LVZ196977 MFV196976:MFV196977 MPR196976:MPR196977 MZN196976:MZN196977 NJJ196976:NJJ196977 NTF196976:NTF196977 ODB196976:ODB196977 OMX196976:OMX196977 OWT196976:OWT196977 PGP196976:PGP196977 PQL196976:PQL196977 QAH196976:QAH196977 QKD196976:QKD196977 QTZ196976:QTZ196977 RDV196976:RDV196977 RNR196976:RNR196977 RXN196976:RXN196977 SHJ196976:SHJ196977 SRF196976:SRF196977 TBB196976:TBB196977 TKX196976:TKX196977 TUT196976:TUT196977 UEP196976:UEP196977 UOL196976:UOL196977 UYH196976:UYH196977 VID196976:VID196977 VRZ196976:VRZ196977 WBV196976:WBV196977 WLR196976:WLR196977 WVN196976:WVN196977 F262512:F262513 JB262512:JB262513 SX262512:SX262513 ACT262512:ACT262513 AMP262512:AMP262513 AWL262512:AWL262513 BGH262512:BGH262513 BQD262512:BQD262513 BZZ262512:BZZ262513 CJV262512:CJV262513 CTR262512:CTR262513 DDN262512:DDN262513 DNJ262512:DNJ262513 DXF262512:DXF262513 EHB262512:EHB262513 EQX262512:EQX262513 FAT262512:FAT262513 FKP262512:FKP262513 FUL262512:FUL262513 GEH262512:GEH262513 GOD262512:GOD262513 GXZ262512:GXZ262513 HHV262512:HHV262513 HRR262512:HRR262513 IBN262512:IBN262513 ILJ262512:ILJ262513 IVF262512:IVF262513 JFB262512:JFB262513 JOX262512:JOX262513 JYT262512:JYT262513 KIP262512:KIP262513 KSL262512:KSL262513 LCH262512:LCH262513 LMD262512:LMD262513 LVZ262512:LVZ262513 MFV262512:MFV262513 MPR262512:MPR262513 MZN262512:MZN262513 NJJ262512:NJJ262513 NTF262512:NTF262513 ODB262512:ODB262513 OMX262512:OMX262513 OWT262512:OWT262513 PGP262512:PGP262513 PQL262512:PQL262513 QAH262512:QAH262513 QKD262512:QKD262513 QTZ262512:QTZ262513 RDV262512:RDV262513 RNR262512:RNR262513 RXN262512:RXN262513 SHJ262512:SHJ262513 SRF262512:SRF262513 TBB262512:TBB262513 TKX262512:TKX262513 TUT262512:TUT262513 UEP262512:UEP262513 UOL262512:UOL262513 UYH262512:UYH262513 VID262512:VID262513 VRZ262512:VRZ262513 WBV262512:WBV262513 WLR262512:WLR262513 WVN262512:WVN262513 F328048:F328049 JB328048:JB328049 SX328048:SX328049 ACT328048:ACT328049 AMP328048:AMP328049 AWL328048:AWL328049 BGH328048:BGH328049 BQD328048:BQD328049 BZZ328048:BZZ328049 CJV328048:CJV328049 CTR328048:CTR328049 DDN328048:DDN328049 DNJ328048:DNJ328049 DXF328048:DXF328049 EHB328048:EHB328049 EQX328048:EQX328049 FAT328048:FAT328049 FKP328048:FKP328049 FUL328048:FUL328049 GEH328048:GEH328049 GOD328048:GOD328049 GXZ328048:GXZ328049 HHV328048:HHV328049 HRR328048:HRR328049 IBN328048:IBN328049 ILJ328048:ILJ328049 IVF328048:IVF328049 JFB328048:JFB328049 JOX328048:JOX328049 JYT328048:JYT328049 KIP328048:KIP328049 KSL328048:KSL328049 LCH328048:LCH328049 LMD328048:LMD328049 LVZ328048:LVZ328049 MFV328048:MFV328049 MPR328048:MPR328049 MZN328048:MZN328049 NJJ328048:NJJ328049 NTF328048:NTF328049 ODB328048:ODB328049 OMX328048:OMX328049 OWT328048:OWT328049 PGP328048:PGP328049 PQL328048:PQL328049 QAH328048:QAH328049 QKD328048:QKD328049 QTZ328048:QTZ328049 RDV328048:RDV328049 RNR328048:RNR328049 RXN328048:RXN328049 SHJ328048:SHJ328049 SRF328048:SRF328049 TBB328048:TBB328049 TKX328048:TKX328049 TUT328048:TUT328049 UEP328048:UEP328049 UOL328048:UOL328049 UYH328048:UYH328049 VID328048:VID328049 VRZ328048:VRZ328049 WBV328048:WBV328049 WLR328048:WLR328049 WVN328048:WVN328049 F393584:F393585 JB393584:JB393585 SX393584:SX393585 ACT393584:ACT393585 AMP393584:AMP393585 AWL393584:AWL393585 BGH393584:BGH393585 BQD393584:BQD393585 BZZ393584:BZZ393585 CJV393584:CJV393585 CTR393584:CTR393585 DDN393584:DDN393585 DNJ393584:DNJ393585 DXF393584:DXF393585 EHB393584:EHB393585 EQX393584:EQX393585 FAT393584:FAT393585 FKP393584:FKP393585 FUL393584:FUL393585 GEH393584:GEH393585 GOD393584:GOD393585 GXZ393584:GXZ393585 HHV393584:HHV393585 HRR393584:HRR393585 IBN393584:IBN393585 ILJ393584:ILJ393585 IVF393584:IVF393585 JFB393584:JFB393585 JOX393584:JOX393585 JYT393584:JYT393585 KIP393584:KIP393585 KSL393584:KSL393585 LCH393584:LCH393585 LMD393584:LMD393585 LVZ393584:LVZ393585 MFV393584:MFV393585 MPR393584:MPR393585 MZN393584:MZN393585 NJJ393584:NJJ393585 NTF393584:NTF393585 ODB393584:ODB393585 OMX393584:OMX393585 OWT393584:OWT393585 PGP393584:PGP393585 PQL393584:PQL393585 QAH393584:QAH393585 QKD393584:QKD393585 QTZ393584:QTZ393585 RDV393584:RDV393585 RNR393584:RNR393585 RXN393584:RXN393585 SHJ393584:SHJ393585 SRF393584:SRF393585 TBB393584:TBB393585 TKX393584:TKX393585 TUT393584:TUT393585 UEP393584:UEP393585 UOL393584:UOL393585 UYH393584:UYH393585 VID393584:VID393585 VRZ393584:VRZ393585 WBV393584:WBV393585 WLR393584:WLR393585 WVN393584:WVN393585 F459120:F459121 JB459120:JB459121 SX459120:SX459121 ACT459120:ACT459121 AMP459120:AMP459121 AWL459120:AWL459121 BGH459120:BGH459121 BQD459120:BQD459121 BZZ459120:BZZ459121 CJV459120:CJV459121 CTR459120:CTR459121 DDN459120:DDN459121 DNJ459120:DNJ459121 DXF459120:DXF459121 EHB459120:EHB459121 EQX459120:EQX459121 FAT459120:FAT459121 FKP459120:FKP459121 FUL459120:FUL459121 GEH459120:GEH459121 GOD459120:GOD459121 GXZ459120:GXZ459121 HHV459120:HHV459121 HRR459120:HRR459121 IBN459120:IBN459121 ILJ459120:ILJ459121 IVF459120:IVF459121 JFB459120:JFB459121 JOX459120:JOX459121 JYT459120:JYT459121 KIP459120:KIP459121 KSL459120:KSL459121 LCH459120:LCH459121 LMD459120:LMD459121 LVZ459120:LVZ459121 MFV459120:MFV459121 MPR459120:MPR459121 MZN459120:MZN459121 NJJ459120:NJJ459121 NTF459120:NTF459121 ODB459120:ODB459121 OMX459120:OMX459121 OWT459120:OWT459121 PGP459120:PGP459121 PQL459120:PQL459121 QAH459120:QAH459121 QKD459120:QKD459121 QTZ459120:QTZ459121 RDV459120:RDV459121 RNR459120:RNR459121 RXN459120:RXN459121 SHJ459120:SHJ459121 SRF459120:SRF459121 TBB459120:TBB459121 TKX459120:TKX459121 TUT459120:TUT459121 UEP459120:UEP459121 UOL459120:UOL459121 UYH459120:UYH459121 VID459120:VID459121 VRZ459120:VRZ459121 WBV459120:WBV459121 WLR459120:WLR459121 WVN459120:WVN459121 F524656:F524657 JB524656:JB524657 SX524656:SX524657 ACT524656:ACT524657 AMP524656:AMP524657 AWL524656:AWL524657 BGH524656:BGH524657 BQD524656:BQD524657 BZZ524656:BZZ524657 CJV524656:CJV524657 CTR524656:CTR524657 DDN524656:DDN524657 DNJ524656:DNJ524657 DXF524656:DXF524657 EHB524656:EHB524657 EQX524656:EQX524657 FAT524656:FAT524657 FKP524656:FKP524657 FUL524656:FUL524657 GEH524656:GEH524657 GOD524656:GOD524657 GXZ524656:GXZ524657 HHV524656:HHV524657 HRR524656:HRR524657 IBN524656:IBN524657 ILJ524656:ILJ524657 IVF524656:IVF524657 JFB524656:JFB524657 JOX524656:JOX524657 JYT524656:JYT524657 KIP524656:KIP524657 KSL524656:KSL524657 LCH524656:LCH524657 LMD524656:LMD524657 LVZ524656:LVZ524657 MFV524656:MFV524657 MPR524656:MPR524657 MZN524656:MZN524657 NJJ524656:NJJ524657 NTF524656:NTF524657 ODB524656:ODB524657 OMX524656:OMX524657 OWT524656:OWT524657 PGP524656:PGP524657 PQL524656:PQL524657 QAH524656:QAH524657 QKD524656:QKD524657 QTZ524656:QTZ524657 RDV524656:RDV524657 RNR524656:RNR524657 RXN524656:RXN524657 SHJ524656:SHJ524657 SRF524656:SRF524657 TBB524656:TBB524657 TKX524656:TKX524657 TUT524656:TUT524657 UEP524656:UEP524657 UOL524656:UOL524657 UYH524656:UYH524657 VID524656:VID524657 VRZ524656:VRZ524657 WBV524656:WBV524657 WLR524656:WLR524657 WVN524656:WVN524657 F590192:F590193 JB590192:JB590193 SX590192:SX590193 ACT590192:ACT590193 AMP590192:AMP590193 AWL590192:AWL590193 BGH590192:BGH590193 BQD590192:BQD590193 BZZ590192:BZZ590193 CJV590192:CJV590193 CTR590192:CTR590193 DDN590192:DDN590193 DNJ590192:DNJ590193 DXF590192:DXF590193 EHB590192:EHB590193 EQX590192:EQX590193 FAT590192:FAT590193 FKP590192:FKP590193 FUL590192:FUL590193 GEH590192:GEH590193 GOD590192:GOD590193 GXZ590192:GXZ590193 HHV590192:HHV590193 HRR590192:HRR590193 IBN590192:IBN590193 ILJ590192:ILJ590193 IVF590192:IVF590193 JFB590192:JFB590193 JOX590192:JOX590193 JYT590192:JYT590193 KIP590192:KIP590193 KSL590192:KSL590193 LCH590192:LCH590193 LMD590192:LMD590193 LVZ590192:LVZ590193 MFV590192:MFV590193 MPR590192:MPR590193 MZN590192:MZN590193 NJJ590192:NJJ590193 NTF590192:NTF590193 ODB590192:ODB590193 OMX590192:OMX590193 OWT590192:OWT590193 PGP590192:PGP590193 PQL590192:PQL590193 QAH590192:QAH590193 QKD590192:QKD590193 QTZ590192:QTZ590193 RDV590192:RDV590193 RNR590192:RNR590193 RXN590192:RXN590193 SHJ590192:SHJ590193 SRF590192:SRF590193 TBB590192:TBB590193 TKX590192:TKX590193 TUT590192:TUT590193 UEP590192:UEP590193 UOL590192:UOL590193 UYH590192:UYH590193 VID590192:VID590193 VRZ590192:VRZ590193 WBV590192:WBV590193 WLR590192:WLR590193 WVN590192:WVN590193 F655728:F655729 JB655728:JB655729 SX655728:SX655729 ACT655728:ACT655729 AMP655728:AMP655729 AWL655728:AWL655729 BGH655728:BGH655729 BQD655728:BQD655729 BZZ655728:BZZ655729 CJV655728:CJV655729 CTR655728:CTR655729 DDN655728:DDN655729 DNJ655728:DNJ655729 DXF655728:DXF655729 EHB655728:EHB655729 EQX655728:EQX655729 FAT655728:FAT655729 FKP655728:FKP655729 FUL655728:FUL655729 GEH655728:GEH655729 GOD655728:GOD655729 GXZ655728:GXZ655729 HHV655728:HHV655729 HRR655728:HRR655729 IBN655728:IBN655729 ILJ655728:ILJ655729 IVF655728:IVF655729 JFB655728:JFB655729 JOX655728:JOX655729 JYT655728:JYT655729 KIP655728:KIP655729 KSL655728:KSL655729 LCH655728:LCH655729 LMD655728:LMD655729 LVZ655728:LVZ655729 MFV655728:MFV655729 MPR655728:MPR655729 MZN655728:MZN655729 NJJ655728:NJJ655729 NTF655728:NTF655729 ODB655728:ODB655729 OMX655728:OMX655729 OWT655728:OWT655729 PGP655728:PGP655729 PQL655728:PQL655729 QAH655728:QAH655729 QKD655728:QKD655729 QTZ655728:QTZ655729 RDV655728:RDV655729 RNR655728:RNR655729 RXN655728:RXN655729 SHJ655728:SHJ655729 SRF655728:SRF655729 TBB655728:TBB655729 TKX655728:TKX655729 TUT655728:TUT655729 UEP655728:UEP655729 UOL655728:UOL655729 UYH655728:UYH655729 VID655728:VID655729 VRZ655728:VRZ655729 WBV655728:WBV655729 WLR655728:WLR655729 WVN655728:WVN655729 F721264:F721265 JB721264:JB721265 SX721264:SX721265 ACT721264:ACT721265 AMP721264:AMP721265 AWL721264:AWL721265 BGH721264:BGH721265 BQD721264:BQD721265 BZZ721264:BZZ721265 CJV721264:CJV721265 CTR721264:CTR721265 DDN721264:DDN721265 DNJ721264:DNJ721265 DXF721264:DXF721265 EHB721264:EHB721265 EQX721264:EQX721265 FAT721264:FAT721265 FKP721264:FKP721265 FUL721264:FUL721265 GEH721264:GEH721265 GOD721264:GOD721265 GXZ721264:GXZ721265 HHV721264:HHV721265 HRR721264:HRR721265 IBN721264:IBN721265 ILJ721264:ILJ721265 IVF721264:IVF721265 JFB721264:JFB721265 JOX721264:JOX721265 JYT721264:JYT721265 KIP721264:KIP721265 KSL721264:KSL721265 LCH721264:LCH721265 LMD721264:LMD721265 LVZ721264:LVZ721265 MFV721264:MFV721265 MPR721264:MPR721265 MZN721264:MZN721265 NJJ721264:NJJ721265 NTF721264:NTF721265 ODB721264:ODB721265 OMX721264:OMX721265 OWT721264:OWT721265 PGP721264:PGP721265 PQL721264:PQL721265 QAH721264:QAH721265 QKD721264:QKD721265 QTZ721264:QTZ721265 RDV721264:RDV721265 RNR721264:RNR721265 RXN721264:RXN721265 SHJ721264:SHJ721265 SRF721264:SRF721265 TBB721264:TBB721265 TKX721264:TKX721265 TUT721264:TUT721265 UEP721264:UEP721265 UOL721264:UOL721265 UYH721264:UYH721265 VID721264:VID721265 VRZ721264:VRZ721265 WBV721264:WBV721265 WLR721264:WLR721265 WVN721264:WVN721265 F786800:F786801 JB786800:JB786801 SX786800:SX786801 ACT786800:ACT786801 AMP786800:AMP786801 AWL786800:AWL786801 BGH786800:BGH786801 BQD786800:BQD786801 BZZ786800:BZZ786801 CJV786800:CJV786801 CTR786800:CTR786801 DDN786800:DDN786801 DNJ786800:DNJ786801 DXF786800:DXF786801 EHB786800:EHB786801 EQX786800:EQX786801 FAT786800:FAT786801 FKP786800:FKP786801 FUL786800:FUL786801 GEH786800:GEH786801 GOD786800:GOD786801 GXZ786800:GXZ786801 HHV786800:HHV786801 HRR786800:HRR786801 IBN786800:IBN786801 ILJ786800:ILJ786801 IVF786800:IVF786801 JFB786800:JFB786801 JOX786800:JOX786801 JYT786800:JYT786801 KIP786800:KIP786801 KSL786800:KSL786801 LCH786800:LCH786801 LMD786800:LMD786801 LVZ786800:LVZ786801 MFV786800:MFV786801 MPR786800:MPR786801 MZN786800:MZN786801 NJJ786800:NJJ786801 NTF786800:NTF786801 ODB786800:ODB786801 OMX786800:OMX786801 OWT786800:OWT786801 PGP786800:PGP786801 PQL786800:PQL786801 QAH786800:QAH786801 QKD786800:QKD786801 QTZ786800:QTZ786801 RDV786800:RDV786801 RNR786800:RNR786801 RXN786800:RXN786801 SHJ786800:SHJ786801 SRF786800:SRF786801 TBB786800:TBB786801 TKX786800:TKX786801 TUT786800:TUT786801 UEP786800:UEP786801 UOL786800:UOL786801 UYH786800:UYH786801 VID786800:VID786801 VRZ786800:VRZ786801 WBV786800:WBV786801 WLR786800:WLR786801 WVN786800:WVN786801 F852336:F852337 JB852336:JB852337 SX852336:SX852337 ACT852336:ACT852337 AMP852336:AMP852337 AWL852336:AWL852337 BGH852336:BGH852337 BQD852336:BQD852337 BZZ852336:BZZ852337 CJV852336:CJV852337 CTR852336:CTR852337 DDN852336:DDN852337 DNJ852336:DNJ852337 DXF852336:DXF852337 EHB852336:EHB852337 EQX852336:EQX852337 FAT852336:FAT852337 FKP852336:FKP852337 FUL852336:FUL852337 GEH852336:GEH852337 GOD852336:GOD852337 GXZ852336:GXZ852337 HHV852336:HHV852337 HRR852336:HRR852337 IBN852336:IBN852337 ILJ852336:ILJ852337 IVF852336:IVF852337 JFB852336:JFB852337 JOX852336:JOX852337 JYT852336:JYT852337 KIP852336:KIP852337 KSL852336:KSL852337 LCH852336:LCH852337 LMD852336:LMD852337 LVZ852336:LVZ852337 MFV852336:MFV852337 MPR852336:MPR852337 MZN852336:MZN852337 NJJ852336:NJJ852337 NTF852336:NTF852337 ODB852336:ODB852337 OMX852336:OMX852337 OWT852336:OWT852337 PGP852336:PGP852337 PQL852336:PQL852337 QAH852336:QAH852337 QKD852336:QKD852337 QTZ852336:QTZ852337 RDV852336:RDV852337 RNR852336:RNR852337 RXN852336:RXN852337 SHJ852336:SHJ852337 SRF852336:SRF852337 TBB852336:TBB852337 TKX852336:TKX852337 TUT852336:TUT852337 UEP852336:UEP852337 UOL852336:UOL852337 UYH852336:UYH852337 VID852336:VID852337 VRZ852336:VRZ852337 WBV852336:WBV852337 WLR852336:WLR852337 WVN852336:WVN852337 F917872:F917873 JB917872:JB917873 SX917872:SX917873 ACT917872:ACT917873 AMP917872:AMP917873 AWL917872:AWL917873 BGH917872:BGH917873 BQD917872:BQD917873 BZZ917872:BZZ917873 CJV917872:CJV917873 CTR917872:CTR917873 DDN917872:DDN917873 DNJ917872:DNJ917873 DXF917872:DXF917873 EHB917872:EHB917873 EQX917872:EQX917873 FAT917872:FAT917873 FKP917872:FKP917873 FUL917872:FUL917873 GEH917872:GEH917873 GOD917872:GOD917873 GXZ917872:GXZ917873 HHV917872:HHV917873 HRR917872:HRR917873 IBN917872:IBN917873 ILJ917872:ILJ917873 IVF917872:IVF917873 JFB917872:JFB917873 JOX917872:JOX917873 JYT917872:JYT917873 KIP917872:KIP917873 KSL917872:KSL917873 LCH917872:LCH917873 LMD917872:LMD917873 LVZ917872:LVZ917873 MFV917872:MFV917873 MPR917872:MPR917873 MZN917872:MZN917873 NJJ917872:NJJ917873 NTF917872:NTF917873 ODB917872:ODB917873 OMX917872:OMX917873 OWT917872:OWT917873 PGP917872:PGP917873 PQL917872:PQL917873 QAH917872:QAH917873 QKD917872:QKD917873 QTZ917872:QTZ917873 RDV917872:RDV917873 RNR917872:RNR917873 RXN917872:RXN917873 SHJ917872:SHJ917873 SRF917872:SRF917873 TBB917872:TBB917873 TKX917872:TKX917873 TUT917872:TUT917873 UEP917872:UEP917873 UOL917872:UOL917873 UYH917872:UYH917873 VID917872:VID917873 VRZ917872:VRZ917873 WBV917872:WBV917873 WLR917872:WLR917873 WVN917872:WVN917873 F983408:F983409 JB983408:JB983409 SX983408:SX983409 ACT983408:ACT983409 AMP983408:AMP983409 AWL983408:AWL983409 BGH983408:BGH983409 BQD983408:BQD983409 BZZ983408:BZZ983409 CJV983408:CJV983409 CTR983408:CTR983409 DDN983408:DDN983409 DNJ983408:DNJ983409 DXF983408:DXF983409 EHB983408:EHB983409 EQX983408:EQX983409 FAT983408:FAT983409 FKP983408:FKP983409 FUL983408:FUL983409 GEH983408:GEH983409 GOD983408:GOD983409 GXZ983408:GXZ983409 HHV983408:HHV983409 HRR983408:HRR983409 IBN983408:IBN983409 ILJ983408:ILJ983409 IVF983408:IVF983409 JFB983408:JFB983409 JOX983408:JOX983409 JYT983408:JYT983409 KIP983408:KIP983409 KSL983408:KSL983409 LCH983408:LCH983409 LMD983408:LMD983409 LVZ983408:LVZ983409 MFV983408:MFV983409 MPR983408:MPR983409 MZN983408:MZN983409 NJJ983408:NJJ983409 NTF983408:NTF983409 ODB983408:ODB983409 OMX983408:OMX983409 OWT983408:OWT983409 PGP983408:PGP983409 PQL983408:PQL983409 QAH983408:QAH983409 QKD983408:QKD983409 QTZ983408:QTZ983409 RDV983408:RDV983409 RNR983408:RNR983409 RXN983408:RXN983409 SHJ983408:SHJ983409 SRF983408:SRF983409 TBB983408:TBB983409 TKX983408:TKX983409 TUT983408:TUT983409 UEP983408:UEP983409 UOL983408:UOL983409 UYH983408:UYH983409 VID983408:VID983409 VRZ983408:VRZ983409 WBV983408:WBV983409 WLR983408:WLR983409 WVN983408:WVN983409" xr:uid="{00000000-0002-0000-0300-00000C000000}">
      <formula1>$AA$210:$AA$213</formula1>
    </dataValidation>
  </dataValidations>
  <printOptions horizontalCentered="1"/>
  <pageMargins left="0.5" right="0.5" top="0.73" bottom="0.84" header="0.5" footer="0.5"/>
  <pageSetup scale="91" orientation="portrait" r:id="rId1"/>
  <headerFooter alignWithMargins="0">
    <oddFooter>&amp;L&amp;"TKTypeRegular,Bold"&amp;12&amp;A&amp;C&amp;"TKTypeRegular,Bold"&amp;12Page &amp;P of &amp;N&amp;R&amp;"TKTypeRegular,Bold"&amp;12&amp;F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Drop Down 2">
              <controlPr defaultSize="0" autoLine="0" autoPict="0">
                <anchor moveWithCells="1">
                  <from>
                    <xdr:col>6</xdr:col>
                    <xdr:colOff>19050</xdr:colOff>
                    <xdr:row>14</xdr:row>
                    <xdr:rowOff>0</xdr:rowOff>
                  </from>
                  <to>
                    <xdr:col>6</xdr:col>
                    <xdr:colOff>857250</xdr:colOff>
                    <xdr:row>14</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18"/>
  <sheetViews>
    <sheetView showGridLines="0" topLeftCell="A2" workbookViewId="0">
      <selection activeCell="I15" sqref="I15"/>
    </sheetView>
  </sheetViews>
  <sheetFormatPr defaultColWidth="9" defaultRowHeight="15"/>
  <cols>
    <col min="1" max="1" width="14.75" style="326" customWidth="1"/>
    <col min="2" max="2" width="12" style="327" bestFit="1" customWidth="1"/>
    <col min="3" max="3" width="108.125" style="327" customWidth="1"/>
    <col min="4" max="16384" width="9" style="321"/>
  </cols>
  <sheetData>
    <row r="1" spans="1:3" ht="31.5">
      <c r="A1" s="322" t="s">
        <v>872</v>
      </c>
      <c r="B1" s="323" t="s">
        <v>873</v>
      </c>
      <c r="C1" s="323" t="s">
        <v>874</v>
      </c>
    </row>
    <row r="2" spans="1:3" ht="45">
      <c r="A2" s="324">
        <v>43187</v>
      </c>
      <c r="B2" s="325" t="s">
        <v>875</v>
      </c>
      <c r="C2" s="325" t="s">
        <v>876</v>
      </c>
    </row>
    <row r="3" spans="1:3" ht="30">
      <c r="A3" s="326">
        <v>43473</v>
      </c>
      <c r="B3" s="327" t="s">
        <v>877</v>
      </c>
      <c r="C3" s="327" t="s">
        <v>883</v>
      </c>
    </row>
    <row r="4" spans="1:3" ht="30">
      <c r="A4" s="326">
        <v>43473</v>
      </c>
      <c r="B4" s="327" t="s">
        <v>877</v>
      </c>
      <c r="C4" s="327" t="s">
        <v>879</v>
      </c>
    </row>
    <row r="5" spans="1:3" ht="30">
      <c r="A5" s="326">
        <v>43473</v>
      </c>
      <c r="B5" s="327" t="s">
        <v>877</v>
      </c>
      <c r="C5" s="327" t="s">
        <v>880</v>
      </c>
    </row>
    <row r="6" spans="1:3" ht="30">
      <c r="A6" s="326">
        <v>43473</v>
      </c>
      <c r="B6" s="327" t="s">
        <v>877</v>
      </c>
      <c r="C6" s="327" t="s">
        <v>881</v>
      </c>
    </row>
    <row r="7" spans="1:3" ht="30">
      <c r="A7" s="326">
        <v>43473</v>
      </c>
      <c r="B7" s="327" t="s">
        <v>877</v>
      </c>
      <c r="C7" s="327" t="s">
        <v>882</v>
      </c>
    </row>
    <row r="8" spans="1:3" ht="30">
      <c r="A8" s="326">
        <v>43614</v>
      </c>
      <c r="B8" s="327" t="s">
        <v>877</v>
      </c>
      <c r="C8" s="327" t="s">
        <v>884</v>
      </c>
    </row>
    <row r="9" spans="1:3" ht="30">
      <c r="A9" s="326">
        <v>43621</v>
      </c>
      <c r="B9" s="327" t="s">
        <v>877</v>
      </c>
      <c r="C9" s="327" t="s">
        <v>894</v>
      </c>
    </row>
    <row r="10" spans="1:3" ht="30">
      <c r="A10" s="326">
        <v>43664</v>
      </c>
      <c r="B10" s="327" t="s">
        <v>877</v>
      </c>
      <c r="C10" s="327" t="s">
        <v>955</v>
      </c>
    </row>
    <row r="11" spans="1:3" ht="30">
      <c r="A11" s="326">
        <v>43718</v>
      </c>
      <c r="B11" s="327" t="s">
        <v>877</v>
      </c>
      <c r="C11" s="327" t="s">
        <v>954</v>
      </c>
    </row>
    <row r="12" spans="1:3" ht="30">
      <c r="A12" s="326">
        <v>43719</v>
      </c>
      <c r="B12" s="327" t="s">
        <v>877</v>
      </c>
      <c r="C12" s="327" t="s">
        <v>958</v>
      </c>
    </row>
    <row r="13" spans="1:3" ht="30">
      <c r="A13" s="326">
        <v>43719</v>
      </c>
      <c r="B13" s="327" t="s">
        <v>877</v>
      </c>
      <c r="C13" s="327" t="s">
        <v>960</v>
      </c>
    </row>
    <row r="14" spans="1:3" ht="30">
      <c r="A14" s="326">
        <v>43741</v>
      </c>
      <c r="B14" s="327" t="s">
        <v>875</v>
      </c>
      <c r="C14" s="327" t="s">
        <v>962</v>
      </c>
    </row>
    <row r="15" spans="1:3" ht="30">
      <c r="A15" s="326">
        <v>44249</v>
      </c>
      <c r="B15" s="327" t="s">
        <v>875</v>
      </c>
      <c r="C15" s="327" t="s">
        <v>967</v>
      </c>
    </row>
    <row r="16" spans="1:3" ht="30">
      <c r="A16" s="326">
        <v>44300</v>
      </c>
      <c r="B16" s="327" t="s">
        <v>875</v>
      </c>
      <c r="C16" s="327" t="s">
        <v>970</v>
      </c>
    </row>
    <row r="17" spans="1:3" ht="30">
      <c r="A17" s="326">
        <v>44642</v>
      </c>
      <c r="B17" s="327" t="s">
        <v>875</v>
      </c>
      <c r="C17" s="327" t="s">
        <v>971</v>
      </c>
    </row>
    <row r="18" spans="1:3" ht="30">
      <c r="A18" s="326">
        <v>44999</v>
      </c>
      <c r="B18" s="327" t="s">
        <v>972</v>
      </c>
      <c r="C18" s="327" t="s">
        <v>973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TKE Authoring Document" ma:contentTypeID="0x0101000AD25FD4F5335F4088A390CD2D5AD40B00C04F8F751E185B469E138605790D517300A198E38255A73C4DBC3672705F2DBC46" ma:contentTypeVersion="47" ma:contentTypeDescription="" ma:contentTypeScope="" ma:versionID="4bce5c15165808260e85cc7a5f078e0b">
  <xsd:schema xmlns:xsd="http://www.w3.org/2001/XMLSchema" xmlns:xs="http://www.w3.org/2001/XMLSchema" xmlns:p="http://schemas.microsoft.com/office/2006/metadata/properties" xmlns:ns2="563a3324-64cb-46cc-be8f-432caf6ce975" xmlns:ns3="a917ba21-a2a0-491f-ae12-e806cf4ae368" xmlns:ns4="f8e908ff-a29c-4d20-aa2b-0a2be83e9951" xmlns:ns5="62f75727-e329-4509-ad2c-43767801ca39" targetNamespace="http://schemas.microsoft.com/office/2006/metadata/properties" ma:root="true" ma:fieldsID="caafcd5a866234c795d3842eaadb60fd" ns2:_="" ns3:_="" ns4:_="" ns5:_="">
    <xsd:import namespace="563a3324-64cb-46cc-be8f-432caf6ce975"/>
    <xsd:import namespace="a917ba21-a2a0-491f-ae12-e806cf4ae368"/>
    <xsd:import namespace="f8e908ff-a29c-4d20-aa2b-0a2be83e9951"/>
    <xsd:import namespace="62f75727-e329-4509-ad2c-43767801ca39"/>
    <xsd:element name="properties">
      <xsd:complexType>
        <xsd:sequence>
          <xsd:element name="documentManagement">
            <xsd:complexType>
              <xsd:all>
                <xsd:element ref="ns2:isActive" minOccurs="0"/>
                <xsd:element ref="ns3:tkePublishDate" minOccurs="0"/>
                <xsd:element ref="ns3:tkeDepartmentTab" minOccurs="0"/>
                <xsd:element ref="ns3:tkeDepartmentTab_x003a_ID" minOccurs="0"/>
                <xsd:element ref="ns3:tkeDepartmentTab_x003a_Title" minOccurs="0"/>
                <xsd:element ref="ns3:tkeDepartmentTab_x003a_tkeDepartment" minOccurs="0"/>
                <xsd:element ref="ns3:tkeDepartmentTab_x003a_tkeDisplayOrder" minOccurs="0"/>
                <xsd:element ref="ns3:tkeIntranetPage" minOccurs="0"/>
                <xsd:element ref="ns2:a5891960888e4222a17b0b8d15456d8c" minOccurs="0"/>
                <xsd:element ref="ns4:TaxCatchAll" minOccurs="0"/>
                <xsd:element ref="ns4:TaxCatchAllLabel" minOccurs="0"/>
                <xsd:element ref="ns3:hbc47400ae374120ac836eb31f8ac773" minOccurs="0"/>
                <xsd:element ref="ns2:tkeDescription" minOccurs="0"/>
                <xsd:element ref="ns3:_dlc_DocId" minOccurs="0"/>
                <xsd:element ref="ns3:_dlc_DocIdUrl" minOccurs="0"/>
                <xsd:element ref="ns3:_dlc_DocIdPersistId" minOccurs="0"/>
                <xsd:element ref="ns3:j48d832d6453440989babb133873daa5" minOccurs="0"/>
                <xsd:element ref="ns3:tkeModifiedBy" minOccurs="0"/>
                <xsd:element ref="ns5:tkeProductTab" minOccurs="0"/>
                <xsd:element ref="ns5:tkeProductTab_x003a_Title" minOccurs="0"/>
                <xsd:element ref="ns5:tkeProductTab_x003a_Display_x0020_Order" minOccurs="0"/>
                <xsd:element ref="ns5:tkeProductTab_x003a_Product_x002f_Service_x0020_And_x0020_Tab_x0020_Title" minOccurs="0"/>
                <xsd:element ref="ns5:tkeProductTab_x003a_SLUG" minOccurs="0"/>
                <xsd:element ref="ns5:tkeProductTab_x003a_ID" minOccurs="0"/>
                <xsd:element ref="ns2:i1c90b92268144449ea922885eebb555" minOccurs="0"/>
                <xsd:element ref="ns2:ce7dd134e8ae42ad8eb89f166258d43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3a3324-64cb-46cc-be8f-432caf6ce975" elementFormDefault="qualified">
    <xsd:import namespace="http://schemas.microsoft.com/office/2006/documentManagement/types"/>
    <xsd:import namespace="http://schemas.microsoft.com/office/infopath/2007/PartnerControls"/>
    <xsd:element name="isActive" ma:index="8" nillable="true" ma:displayName="Is Active" ma:default="1" ma:internalName="isActive">
      <xsd:simpleType>
        <xsd:restriction base="dms:Boolean"/>
      </xsd:simpleType>
    </xsd:element>
    <xsd:element name="a5891960888e4222a17b0b8d15456d8c" ma:index="16" ma:taxonomy="true" ma:internalName="a5891960888e4222a17b0b8d15456d8c" ma:taxonomyFieldName="tkeDocumentTypes" ma:displayName="Document Types" ma:readOnly="false" ma:default="" ma:fieldId="{a5891960-888e-4222-a17b-0b8d15456d8c}" ma:sspId="8d485600-7bd2-4d8a-92b8-d5e3d212dbf2" ma:termSetId="4afd6a13-33d7-4266-b4c4-753bf875e764" ma:anchorId="96c8fb61-dd66-4399-9927-fc9327494aa7" ma:open="false" ma:isKeyword="false">
      <xsd:complexType>
        <xsd:sequence>
          <xsd:element ref="pc:Terms" minOccurs="0" maxOccurs="1"/>
        </xsd:sequence>
      </xsd:complexType>
    </xsd:element>
    <xsd:element name="tkeDescription" ma:index="22" nillable="true" ma:displayName="Description" ma:description="Short description or preview text of the document" ma:internalName="tkeDescription">
      <xsd:simpleType>
        <xsd:restriction base="dms:Note">
          <xsd:maxLength value="255"/>
        </xsd:restriction>
      </xsd:simpleType>
    </xsd:element>
    <xsd:element name="i1c90b92268144449ea922885eebb555" ma:index="38" nillable="true" ma:taxonomy="true" ma:internalName="i1c90b92268144449ea922885eebb555" ma:taxonomyFieldName="tkeProduct" ma:displayName="Products" ma:default="" ma:fieldId="{21c90b92-2681-4444-9ea9-22885eebb555}" ma:taxonomyMulti="true" ma:sspId="8d485600-7bd2-4d8a-92b8-d5e3d212dbf2" ma:termSetId="4afd6a13-33d7-4266-b4c4-753bf875e764" ma:anchorId="e94770b8-341f-46f0-8ceb-fe4d13e56595" ma:open="false" ma:isKeyword="false">
      <xsd:complexType>
        <xsd:sequence>
          <xsd:element ref="pc:Terms" minOccurs="0" maxOccurs="1"/>
        </xsd:sequence>
      </xsd:complexType>
    </xsd:element>
    <xsd:element name="ce7dd134e8ae42ad8eb89f166258d436" ma:index="40" nillable="true" ma:taxonomy="true" ma:internalName="ce7dd134e8ae42ad8eb89f166258d436" ma:taxonomyFieldName="tkeServices" ma:displayName="Services" ma:default="" ma:fieldId="{ce7dd134-e8ae-42ad-8eb8-9f166258d436}" ma:taxonomyMulti="true" ma:sspId="8d485600-7bd2-4d8a-92b8-d5e3d212dbf2" ma:termSetId="4afd6a13-33d7-4266-b4c4-753bf875e764" ma:anchorId="61837fa1-f4c1-466e-b3a9-9615ff34b376"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17ba21-a2a0-491f-ae12-e806cf4ae368" elementFormDefault="qualified">
    <xsd:import namespace="http://schemas.microsoft.com/office/2006/documentManagement/types"/>
    <xsd:import namespace="http://schemas.microsoft.com/office/infopath/2007/PartnerControls"/>
    <xsd:element name="tkePublishDate" ma:index="9" nillable="true" ma:displayName="Publish Date" ma:default="[today]" ma:description="" ma:format="DateOnly" ma:internalName="tkePublishDate" ma:readOnly="false">
      <xsd:simpleType>
        <xsd:restriction base="dms:DateTime"/>
      </xsd:simpleType>
    </xsd:element>
    <xsd:element name="tkeDepartmentTab" ma:index="10" nillable="true" ma:displayName="Department Tab" ma:default="" ma:internalName="tkeDepartmentTab">
      <xsd:simpleType>
        <xsd:restriction base="dms:Unknown"/>
      </xsd:simpleType>
    </xsd:element>
    <xsd:element name="tkeDepartmentTab_x003a_ID" ma:index="11" nillable="true" ma:displayName="Department Tab:ID" ma:internalName="tkeDepartmentTab_x003A_ID">
      <xsd:simpleType>
        <xsd:restriction base="dms:Text">
          <xsd:maxLength value="255"/>
        </xsd:restriction>
      </xsd:simpleType>
    </xsd:element>
    <xsd:element name="tkeDepartmentTab_x003a_Title" ma:index="12" nillable="true" ma:displayName="Department Tab:Title" ma:internalName="tkeDepartmentTab_x003A_Title">
      <xsd:simpleType>
        <xsd:restriction base="dms:Text">
          <xsd:maxLength value="255"/>
        </xsd:restriction>
      </xsd:simpleType>
    </xsd:element>
    <xsd:element name="tkeDepartmentTab_x003a_tkeDepartment" ma:index="13" nillable="true" ma:displayName="Department Tab:Department" ma:internalName="tkeDepartmentTab_x003A_tkeDepartment">
      <xsd:simpleType>
        <xsd:restriction base="dms:Text">
          <xsd:maxLength value="255"/>
        </xsd:restriction>
      </xsd:simpleType>
    </xsd:element>
    <xsd:element name="tkeDepartmentTab_x003a_tkeDisplayOrder" ma:index="14" nillable="true" ma:displayName="Department Tab:Display Order" ma:internalName="tkeDepartmentTab_x003A_tkeDisplayOrder">
      <xsd:simpleType>
        <xsd:restriction base="dms:Text">
          <xsd:maxLength value="255"/>
        </xsd:restriction>
      </xsd:simpleType>
    </xsd:element>
    <xsd:element name="tkeIntranetPage" ma:index="15" nillable="true" ma:displayName="Intranet Page" ma:default="" ma:list="{ba10d6fb-5147-417a-89f2-8c7638190402}" ma:internalName="tkeIntranetPage" ma:showField="Title" ma:web="a917ba21-a2a0-491f-ae12-e806cf4ae368">
      <xsd:simpleType>
        <xsd:restriction base="dms:Unknown"/>
      </xsd:simpleType>
    </xsd:element>
    <xsd:element name="hbc47400ae374120ac836eb31f8ac773" ma:index="20" nillable="true" ma:taxonomy="true" ma:internalName="hbc47400ae374120ac836eb31f8ac773" ma:taxonomyFieldName="TKE_x0020_Category" ma:displayName="Category/Keywords" ma:readOnly="false" ma:default="" ma:fieldId="{1bc47400-ae37-4120-ac83-6eb31f8ac773}" ma:taxonomyMulti="true" ma:sspId="8d485600-7bd2-4d8a-92b8-d5e3d212dbf2" ma:termSetId="80741fe8-e04b-49ce-904b-1884895f2a88"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j48d832d6453440989babb133873daa5" ma:index="28" nillable="true" ma:taxonomy="true" ma:internalName="j48d832d6453440989babb133873daa5" ma:taxonomyFieldName="tkeDepartment" ma:displayName="Department" ma:default="" ma:fieldId="{348d832d-6453-4409-89ba-bb133873daa5}" ma:taxonomyMulti="true" ma:sspId="8d485600-7bd2-4d8a-92b8-d5e3d212dbf2" ma:termSetId="80741fe8-e04b-49ce-904b-1884895f2a88" ma:anchorId="9deb5acf-7533-4c29-8c56-660d36d3d98f" ma:open="false" ma:isKeyword="false">
      <xsd:complexType>
        <xsd:sequence>
          <xsd:element ref="pc:Terms" minOccurs="0" maxOccurs="1"/>
        </xsd:sequence>
      </xsd:complexType>
    </xsd:element>
    <xsd:element name="tkeModifiedBy" ma:index="30" nillable="true" ma:displayName="tkeModifiedBy" ma:description="Do NOT edit this field. It will be set by the workflow." ma:list="UserInfo" ma:SharePointGroup="0" ma:internalName="tkeModifi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8e908ff-a29c-4d20-aa2b-0a2be83e99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ed4193d-ac12-4ab3-8bdf-aef66f1152ae}" ma:internalName="TaxCatchAll" ma:showField="CatchAllData" ma:web="a917ba21-a2a0-491f-ae12-e806cf4ae368">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2ed4193d-ac12-4ab3-8bdf-aef66f1152ae}" ma:internalName="TaxCatchAllLabel" ma:readOnly="true" ma:showField="CatchAllDataLabel" ma:web="a917ba21-a2a0-491f-ae12-e806cf4ae3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2f75727-e329-4509-ad2c-43767801ca39" elementFormDefault="qualified">
    <xsd:import namespace="http://schemas.microsoft.com/office/2006/documentManagement/types"/>
    <xsd:import namespace="http://schemas.microsoft.com/office/infopath/2007/PartnerControls"/>
    <xsd:element name="tkeProductTab" ma:index="31" nillable="true" ma:displayName="Product Document Tab" ma:default="" ma:internalName="tkeProductTab">
      <xsd:simpleType>
        <xsd:restriction base="dms:Unknown"/>
      </xsd:simpleType>
    </xsd:element>
    <xsd:element name="tkeProductTab_x003a_Title" ma:index="32" nillable="true" ma:displayName="tkeProductTab:Title" ma:internalName="tkeProductTab_x003a_Title">
      <xsd:simpleType>
        <xsd:restriction base="dms:Text"/>
      </xsd:simpleType>
    </xsd:element>
    <xsd:element name="tkeProductTab_x003a_Display_x0020_Order" ma:index="33" nillable="true" ma:displayName="tkeProductTab:Display Order" ma:internalName="tkeProductTab_x003a_Display_x0020_Order">
      <xsd:simpleType>
        <xsd:restriction base="dms:Text"/>
      </xsd:simpleType>
    </xsd:element>
    <xsd:element name="tkeProductTab_x003a_Product_x002f_Service_x0020_And_x0020_Tab_x0020_Title" ma:index="34" nillable="true" ma:displayName="tkeProductTab:Product/Service And Tab Title" ma:internalName="tkeProductTab_x003a_Product_x002f_Service_x0020_And_x0020_Tab_x0020_Title">
      <xsd:simpleType>
        <xsd:restriction base="dms:Text"/>
      </xsd:simpleType>
    </xsd:element>
    <xsd:element name="tkeProductTab_x003a_SLUG" ma:index="35" nillable="true" ma:displayName="tkeProductTab:SLUG" ma:internalName="tkeProductTab_x003a_SLUG">
      <xsd:simpleType>
        <xsd:restriction base="dms:Text"/>
      </xsd:simpleType>
    </xsd:element>
    <xsd:element name="tkeProductTab_x003a_ID" ma:index="36" nillable="true" ma:displayName="tkeProductTab:ID" ma:internalName="tkeProductTab_x003a_ID"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keDepartmentTab_x003a_tkeDepartment xmlns="a917ba21-a2a0-491f-ae12-e806cf4ae368" xsi:nil="true"/>
    <tkeDepartmentTab xmlns="a917ba21-a2a0-491f-ae12-e806cf4ae368">176;#Modernization - Documents;#159;#New Installation - Documents;#142;#Service - Documents</tkeDepartmentTab>
    <tkeIntranetPage xmlns="a917ba21-a2a0-491f-ae12-e806cf4ae368" xsi:nil="true"/>
    <TaxCatchAll xmlns="f8e908ff-a29c-4d20-aa2b-0a2be83e9951">
      <Value>1341</Value>
      <Value>336</Value>
      <Value>1576</Value>
      <Value>707</Value>
      <Value>1574</Value>
      <Value>1557</Value>
      <Value>1379</Value>
    </TaxCatchAll>
    <tkeDescription xmlns="563a3324-64cb-46cc-be8f-432caf6ce975">The new Jacks Express program provides you the tools to, with minimal information, estimate in minutes, survey, and order electronically.  This tool offers you the opportunity to get more estimates in customer’s hands quicker and increase revenue.  </tkeDescription>
    <tkePublishDate xmlns="a917ba21-a2a0-491f-ae12-e806cf4ae368">2017-09-25T05:00:00+00:00</tkePublishDate>
    <tkeDepartmentTab_x003a_Title xmlns="a917ba21-a2a0-491f-ae12-e806cf4ae368" xsi:nil="true"/>
    <isActive xmlns="563a3324-64cb-46cc-be8f-432caf6ce975">true</isActive>
    <tkeDepartmentTab_x003a_ID xmlns="a917ba21-a2a0-491f-ae12-e806cf4ae368" xsi:nil="true"/>
    <a5891960888e4222a17b0b8d15456d8c xmlns="563a3324-64cb-46cc-be8f-432caf6ce975">
      <Terms xmlns="http://schemas.microsoft.com/office/infopath/2007/PartnerControls">
        <TermInfo xmlns="http://schemas.microsoft.com/office/infopath/2007/PartnerControls">
          <TermName xmlns="http://schemas.microsoft.com/office/infopath/2007/PartnerControls">Instruction</TermName>
          <TermId xmlns="http://schemas.microsoft.com/office/infopath/2007/PartnerControls">bbd55e68-8533-4188-9205-853f9ed7bf6e</TermId>
        </TermInfo>
      </Terms>
    </a5891960888e4222a17b0b8d15456d8c>
    <tkeDepartmentTab_x003a_tkeDisplayOrder xmlns="a917ba21-a2a0-491f-ae12-e806cf4ae368">00; 00; 00</tkeDepartmentTab_x003a_tkeDisplayOrder>
    <hbc47400ae374120ac836eb31f8ac773 xmlns="a917ba21-a2a0-491f-ae12-e806cf4ae368">
      <Terms xmlns="http://schemas.microsoft.com/office/infopath/2007/PartnerControls">
        <TermInfo xmlns="http://schemas.microsoft.com/office/infopath/2007/PartnerControls">
          <TermName xmlns="http://schemas.microsoft.com/office/infopath/2007/PartnerControls">Express Programs</TermName>
          <TermId xmlns="http://schemas.microsoft.com/office/infopath/2007/PartnerControls">62802fc6-1431-414e-a632-47b80afeb999</TermId>
        </TermInfo>
        <TermInfo xmlns="http://schemas.microsoft.com/office/infopath/2007/PartnerControls">
          <TermName xmlns="http://schemas.microsoft.com/office/infopath/2007/PartnerControls">Sales</TermName>
          <TermId xmlns="http://schemas.microsoft.com/office/infopath/2007/PartnerControls">c86d7b2e-aebd-4748-8c19-d0e171f3031a</TermId>
        </TermInfo>
        <TermInfo xmlns="http://schemas.microsoft.com/office/infopath/2007/PartnerControls">
          <TermName xmlns="http://schemas.microsoft.com/office/infopath/2007/PartnerControls">Jacks Express Program</TermName>
          <TermId xmlns="http://schemas.microsoft.com/office/infopath/2007/PartnerControls">a17d1397-7570-4879-a535-a1c07136ad53</TermId>
        </TermInfo>
      </Terms>
    </hbc47400ae374120ac836eb31f8ac773>
    <_dlc_DocId xmlns="a917ba21-a2a0-491f-ae12-e806cf4ae368">LOBBY-62-66</_dlc_DocId>
    <_dlc_DocIdUrl xmlns="a917ba21-a2a0-491f-ae12-e806cf4ae368">
      <Url>https://authoring.thyssenkruppelevator.com/sales/_layouts/15/DocIdRedir.aspx?ID=LOBBY-62-66</Url>
      <Description>LOBBY-62-66</Description>
    </_dlc_DocIdUrl>
    <j48d832d6453440989babb133873daa5 xmlns="a917ba21-a2a0-491f-ae12-e806cf4ae368">
      <Terms xmlns="http://schemas.microsoft.com/office/infopath/2007/PartnerControls">
        <TermInfo xmlns="http://schemas.microsoft.com/office/infopath/2007/PartnerControls">
          <TermName xmlns="http://schemas.microsoft.com/office/infopath/2007/PartnerControls">Modernization</TermName>
          <TermId xmlns="http://schemas.microsoft.com/office/infopath/2007/PartnerControls">38c64d4a-83ef-47b3-840e-0ca316877b3f</TermId>
        </TermInfo>
        <TermInfo xmlns="http://schemas.microsoft.com/office/infopath/2007/PartnerControls">
          <TermName xmlns="http://schemas.microsoft.com/office/infopath/2007/PartnerControls">New Installation</TermName>
          <TermId xmlns="http://schemas.microsoft.com/office/infopath/2007/PartnerControls">b0a7f737-7f39-45ab-b6da-24e38b972796</TermId>
        </TermInfo>
        <TermInfo xmlns="http://schemas.microsoft.com/office/infopath/2007/PartnerControls">
          <TermName xmlns="http://schemas.microsoft.com/office/infopath/2007/PartnerControls">Service</TermName>
          <TermId xmlns="http://schemas.microsoft.com/office/infopath/2007/PartnerControls">e48eb9ec-5940-47be-9064-36d70ab954bb</TermId>
        </TermInfo>
      </Terms>
    </j48d832d6453440989babb133873daa5>
    <tkeModifiedBy xmlns="a917ba21-a2a0-491f-ae12-e806cf4ae368">
      <UserInfo>
        <DisplayName>Anderson, Kai</DisplayName>
        <AccountId>3003</AccountId>
        <AccountType/>
      </UserInfo>
    </tkeModifiedBy>
    <ce7dd134e8ae42ad8eb89f166258d436 xmlns="563a3324-64cb-46cc-be8f-432caf6ce975">
      <Terms xmlns="http://schemas.microsoft.com/office/infopath/2007/PartnerControls"/>
    </ce7dd134e8ae42ad8eb89f166258d436>
    <i1c90b92268144449ea922885eebb555 xmlns="563a3324-64cb-46cc-be8f-432caf6ce975">
      <Terms xmlns="http://schemas.microsoft.com/office/infopath/2007/PartnerControls"/>
    </i1c90b92268144449ea922885eebb555>
    <tkeProductTab xmlns="62f75727-e329-4509-ad2c-43767801ca39" xsi:nil="true"/>
    <tkeProductTab_x003a_Product_x002f_Service_x0020_And_x0020_Tab_x0020_Title xmlns="62f75727-e329-4509-ad2c-43767801ca39" xsi:nil="true"/>
    <tkeProductTab_x003a_ID xmlns="62f75727-e329-4509-ad2c-43767801ca39" xsi:nil="true"/>
    <tkeProductTab_x003a_Title xmlns="62f75727-e329-4509-ad2c-43767801ca39" xsi:nil="true"/>
    <tkeProductTab_x003a_Display_x0020_Order xmlns="62f75727-e329-4509-ad2c-43767801ca39" xsi:nil="true"/>
    <tkeProductTab_x003a_SLUG xmlns="62f75727-e329-4509-ad2c-43767801ca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8d485600-7bd2-4d8a-92b8-d5e3d212dbf2" ContentTypeId="0x0101000AD25FD4F5335F4088A390CD2D5AD40B" PreviousValue="false"/>
</file>

<file path=customXml/itemProps1.xml><?xml version="1.0" encoding="utf-8"?>
<ds:datastoreItem xmlns:ds="http://schemas.openxmlformats.org/officeDocument/2006/customXml" ds:itemID="{842A1A6F-0F74-4887-B830-843C9D5E9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3a3324-64cb-46cc-be8f-432caf6ce975"/>
    <ds:schemaRef ds:uri="a917ba21-a2a0-491f-ae12-e806cf4ae368"/>
    <ds:schemaRef ds:uri="f8e908ff-a29c-4d20-aa2b-0a2be83e9951"/>
    <ds:schemaRef ds:uri="62f75727-e329-4509-ad2c-43767801c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C0672-A0CC-4654-81AD-EB698348BEE2}">
  <ds:schemaRefs>
    <ds:schemaRef ds:uri="http://purl.org/dc/terms/"/>
    <ds:schemaRef ds:uri="http://schemas.openxmlformats.org/package/2006/metadata/core-properties"/>
    <ds:schemaRef ds:uri="a917ba21-a2a0-491f-ae12-e806cf4ae368"/>
    <ds:schemaRef ds:uri="http://schemas.microsoft.com/office/2006/documentManagement/types"/>
    <ds:schemaRef ds:uri="http://schemas.microsoft.com/office/infopath/2007/PartnerControls"/>
    <ds:schemaRef ds:uri="http://purl.org/dc/elements/1.1/"/>
    <ds:schemaRef ds:uri="http://schemas.microsoft.com/office/2006/metadata/properties"/>
    <ds:schemaRef ds:uri="563a3324-64cb-46cc-be8f-432caf6ce975"/>
    <ds:schemaRef ds:uri="62f75727-e329-4509-ad2c-43767801ca39"/>
    <ds:schemaRef ds:uri="f8e908ff-a29c-4d20-aa2b-0a2be83e9951"/>
    <ds:schemaRef ds:uri="http://www.w3.org/XML/1998/namespace"/>
    <ds:schemaRef ds:uri="http://purl.org/dc/dcmitype/"/>
  </ds:schemaRefs>
</ds:datastoreItem>
</file>

<file path=customXml/itemProps3.xml><?xml version="1.0" encoding="utf-8"?>
<ds:datastoreItem xmlns:ds="http://schemas.openxmlformats.org/officeDocument/2006/customXml" ds:itemID="{659EE092-1D43-4AF0-93DB-85B29CD577E7}">
  <ds:schemaRefs>
    <ds:schemaRef ds:uri="http://schemas.microsoft.com/sharepoint/v3/contenttype/forms"/>
  </ds:schemaRefs>
</ds:datastoreItem>
</file>

<file path=customXml/itemProps4.xml><?xml version="1.0" encoding="utf-8"?>
<ds:datastoreItem xmlns:ds="http://schemas.openxmlformats.org/officeDocument/2006/customXml" ds:itemID="{1B92C127-86F6-441C-891A-A6FAECCB94CF}">
  <ds:schemaRefs>
    <ds:schemaRef ds:uri="http://schemas.microsoft.com/sharepoint/events"/>
  </ds:schemaRefs>
</ds:datastoreItem>
</file>

<file path=customXml/itemProps5.xml><?xml version="1.0" encoding="utf-8"?>
<ds:datastoreItem xmlns:ds="http://schemas.openxmlformats.org/officeDocument/2006/customXml" ds:itemID="{63F46B3B-1F4A-423F-AE52-98F1715A9F2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Estimating Form</vt:lpstr>
      <vt:lpstr>Survey Form</vt:lpstr>
      <vt:lpstr>\p</vt:lpstr>
      <vt:lpstr>'Estimating Form'!Print_Area</vt:lpstr>
      <vt:lpstr>'Hydro Group '!Print_Area</vt:lpstr>
      <vt:lpstr>JAXSAFAC!Print_Area</vt:lpstr>
      <vt:lpstr>'Survey Form'!Print_Area</vt:lpstr>
      <vt:lpstr>Print_Area_MI</vt:lpstr>
      <vt:lpstr>'Hydro Group '!Print_Titles</vt:lpstr>
      <vt:lpstr>'Hydro Group '!Query_from_Macola_1</vt:lpstr>
    </vt:vector>
  </TitlesOfParts>
  <Company>ThyssenKrupp Elevator,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Jacks Express Program</dc:title>
  <dc:creator>George Wenzler</dc:creator>
  <cp:lastModifiedBy>Bock, Megan</cp:lastModifiedBy>
  <cp:lastPrinted>2019-09-05T18:54:34Z</cp:lastPrinted>
  <dcterms:created xsi:type="dcterms:W3CDTF">2009-11-09T16:41:58Z</dcterms:created>
  <dcterms:modified xsi:type="dcterms:W3CDTF">2023-03-14T16:16:48Z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0x0101000AD25FD4F5335F4088A390CD2D5AD40B00C04F8F751E185B469E138605790D517300A198E38255A73C4DBC3672705F2DBC46</vt:lpwstr>
  </property>
  <property fmtid="{D5CDD505-2E9C-101B-9397-08002B2CF9AE}" pid="3" name="_dlc_DocIdItemGuid">
    <vt:lpwstr>0403e75c-1c03-4f0d-9a62-600f2578cf18</vt:lpwstr>
  </property>
  <property fmtid="{D5CDD505-2E9C-101B-9397-08002B2CF9AE}" pid="4" name="TKE Category">
    <vt:lpwstr>1341;#Express Programs|62802fc6-1431-414e-a632-47b80afeb999;#707;#Sales|c86d7b2e-aebd-4748-8c19-d0e171f3031a;#1379;#Jacks Express Program|a17d1397-7570-4879-a535-a1c07136ad53</vt:lpwstr>
  </property>
  <property fmtid="{D5CDD505-2E9C-101B-9397-08002B2CF9AE}" pid="5" name="tkeDepartmentTab_x003a_SLUG">
    <vt:lpwstr/>
  </property>
  <property fmtid="{D5CDD505-2E9C-101B-9397-08002B2CF9AE}" pid="6" name="tkeUserProfileFunctionalArea">
    <vt:lpwstr/>
  </property>
  <property fmtid="{D5CDD505-2E9C-101B-9397-08002B2CF9AE}" pid="7" name="tkeUserProfilePayrollType">
    <vt:lpwstr/>
  </property>
  <property fmtid="{D5CDD505-2E9C-101B-9397-08002B2CF9AE}" pid="8" name="tkeDocumentTypes">
    <vt:lpwstr>336;#Instruction|bbd55e68-8533-4188-9205-853f9ed7bf6e</vt:lpwstr>
  </property>
  <property fmtid="{D5CDD505-2E9C-101B-9397-08002B2CF9AE}" pid="9" name="tkeUserProfileLocation">
    <vt:lpwstr/>
  </property>
  <property fmtid="{D5CDD505-2E9C-101B-9397-08002B2CF9AE}" pid="10" name="tkeDepartmentTab:SLUG">
    <vt:lpwstr>modernization; new-installation; service</vt:lpwstr>
  </property>
  <property fmtid="{D5CDD505-2E9C-101B-9397-08002B2CF9AE}" pid="11" name="tkeUserProfileRegion">
    <vt:lpwstr/>
  </property>
  <property fmtid="{D5CDD505-2E9C-101B-9397-08002B2CF9AE}" pid="12" name="tkeQuickLink">
    <vt:bool>true</vt:bool>
  </property>
  <property fmtid="{D5CDD505-2E9C-101B-9397-08002B2CF9AE}" pid="13" name="tkeDisplayOrder">
    <vt:lpwstr>00</vt:lpwstr>
  </property>
  <property fmtid="{D5CDD505-2E9C-101B-9397-08002B2CF9AE}" pid="14" name="tkeDepartment">
    <vt:lpwstr>1576;#Modernization|38c64d4a-83ef-47b3-840e-0ca316877b3f;#1574;#New Installation|b0a7f737-7f39-45ab-b6da-24e38b972796;#1557;#Service|e48eb9ec-5940-47be-9064-36d70ab954bb</vt:lpwstr>
  </property>
  <property fmtid="{D5CDD505-2E9C-101B-9397-08002B2CF9AE}" pid="15" name="Order">
    <vt:r8>1500</vt:r8>
  </property>
  <property fmtid="{D5CDD505-2E9C-101B-9397-08002B2CF9AE}" pid="16" name="tkeIsTrainingContent">
    <vt:bool>false</vt:bool>
  </property>
  <property fmtid="{D5CDD505-2E9C-101B-9397-08002B2CF9AE}" pid="17" name="tkeServices">
    <vt:lpwstr/>
  </property>
  <property fmtid="{D5CDD505-2E9C-101B-9397-08002B2CF9AE}" pid="18" name="tkeProduct">
    <vt:lpwstr/>
  </property>
  <property fmtid="{D5CDD505-2E9C-101B-9397-08002B2CF9AE}" pid="19" name="MSIP_Label_6ec7f58a-8404-4877-b736-bea143f77ded_Enabled">
    <vt:lpwstr>true</vt:lpwstr>
  </property>
  <property fmtid="{D5CDD505-2E9C-101B-9397-08002B2CF9AE}" pid="20" name="MSIP_Label_6ec7f58a-8404-4877-b736-bea143f77ded_SetDate">
    <vt:lpwstr>2023-03-14T16:16:35Z</vt:lpwstr>
  </property>
  <property fmtid="{D5CDD505-2E9C-101B-9397-08002B2CF9AE}" pid="21" name="MSIP_Label_6ec7f58a-8404-4877-b736-bea143f77ded_Method">
    <vt:lpwstr>Standard</vt:lpwstr>
  </property>
  <property fmtid="{D5CDD505-2E9C-101B-9397-08002B2CF9AE}" pid="22" name="MSIP_Label_6ec7f58a-8404-4877-b736-bea143f77ded_Name">
    <vt:lpwstr>General</vt:lpwstr>
  </property>
  <property fmtid="{D5CDD505-2E9C-101B-9397-08002B2CF9AE}" pid="23" name="MSIP_Label_6ec7f58a-8404-4877-b736-bea143f77ded_SiteId">
    <vt:lpwstr>84d9a216-e285-4aac-b163-0dfd0c074546</vt:lpwstr>
  </property>
  <property fmtid="{D5CDD505-2E9C-101B-9397-08002B2CF9AE}" pid="24" name="MSIP_Label_6ec7f58a-8404-4877-b736-bea143f77ded_ActionId">
    <vt:lpwstr>cb25c7cd-2886-4de2-94ca-ff4217ab7ce2</vt:lpwstr>
  </property>
  <property fmtid="{D5CDD505-2E9C-101B-9397-08002B2CF9AE}" pid="25" name="MSIP_Label_6ec7f58a-8404-4877-b736-bea143f77ded_ContentBits">
    <vt:lpwstr>0</vt:lpwstr>
  </property>
</Properties>
</file>